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512"/>
  <workbookPr/>
  <mc:AlternateContent xmlns:mc="http://schemas.openxmlformats.org/markup-compatibility/2006">
    <mc:Choice Requires="x15">
      <x15ac:absPath xmlns:x15ac="http://schemas.microsoft.com/office/spreadsheetml/2010/11/ac" url="https://ipdap-my.sharepoint.com/personal/tomas_revaj_ipdap_sk1/Documents/00_projekty/SP/MODA/CBA/"/>
    </mc:Choice>
  </mc:AlternateContent>
  <xr:revisionPtr revIDLastSave="484" documentId="10_ncr:100000_{0462D966-AAC0-476C-A6C6-5D4D13A33218}" xr6:coauthVersionLast="43" xr6:coauthVersionMax="43" xr10:uidLastSave="{8BF87FEB-F547-8C45-916B-4DDAE11E557A}"/>
  <bookViews>
    <workbookView xWindow="0" yWindow="460" windowWidth="14400" windowHeight="16740" tabRatio="838" firstSheet="10" activeTab="10" xr2:uid="{00000000-000D-0000-FFFF-FFFF00000000}"/>
  </bookViews>
  <sheets>
    <sheet name="Úvod" sheetId="5" r:id="rId1"/>
    <sheet name="Zoznam hárkov" sheetId="25" r:id="rId2"/>
    <sheet name="Sumarizácia" sheetId="20" r:id="rId3"/>
    <sheet name="CBA - Agendové IS" sheetId="2" r:id="rId4"/>
    <sheet name="Parametre - Agendové IS" sheetId="3" r:id="rId5"/>
    <sheet name="Analyza citlivosti - AgendovéIS" sheetId="7" r:id="rId6"/>
    <sheet name="Prínosy - Agendové IS" sheetId="4" r:id="rId7"/>
    <sheet name="Výdavky - Agendové IS" sheetId="6" r:id="rId8"/>
    <sheet name="TCO" sheetId="11" r:id="rId9"/>
    <sheet name="TCO AS IS - SW" sheetId="17" r:id="rId10"/>
    <sheet name="TCO TO BE- SW" sheetId="9" r:id="rId11"/>
    <sheet name="BPM evaluation" sheetId="29" r:id="rId12"/>
    <sheet name="TCO AS IS - HW" sheetId="18" r:id="rId13"/>
    <sheet name="TCO TO BE - HW" sheetId="10" r:id="rId14"/>
    <sheet name="Rozpočet - vývoj Aplikácií" sheetId="19" r:id="rId15"/>
    <sheet name="Rozpočet - HW a licencie" sheetId="27" r:id="rId16"/>
    <sheet name="Slepý rozpočet" sheetId="26" r:id="rId17"/>
    <sheet name="Faktory" sheetId="1" r:id="rId18"/>
    <sheet name="Procesné mapy" sheetId="28" r:id="rId19"/>
    <sheet name="Procesy - AS IS" sheetId="23" r:id="rId20"/>
    <sheet name="Procesy - TO BE" sheetId="24" r:id="rId21"/>
    <sheet name="Rozdelenie prínosov" sheetId="14" r:id="rId2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1" i="9" l="1"/>
  <c r="H60" i="9"/>
  <c r="H27" i="9"/>
  <c r="H26" i="9"/>
  <c r="G27" i="9"/>
  <c r="G26" i="9"/>
  <c r="F27" i="9"/>
  <c r="F26" i="9"/>
  <c r="H5" i="9"/>
  <c r="AL107" i="19"/>
  <c r="AL106" i="19"/>
  <c r="AL105" i="19"/>
  <c r="AL104" i="19"/>
  <c r="AL101" i="19"/>
  <c r="AE101" i="19"/>
  <c r="AH101" i="19"/>
  <c r="AD101" i="19"/>
  <c r="AK101" i="19"/>
  <c r="AK100" i="19"/>
  <c r="AF100" i="19"/>
  <c r="AL100" i="19"/>
  <c r="AE100" i="19"/>
  <c r="AD100" i="19"/>
  <c r="AL99" i="19"/>
  <c r="AE99" i="19"/>
  <c r="AH99" i="19"/>
  <c r="AD99" i="19"/>
  <c r="AL98" i="19"/>
  <c r="AE98" i="19"/>
  <c r="AH98" i="19"/>
  <c r="AD98" i="19"/>
  <c r="AK98" i="19"/>
  <c r="AL97" i="19"/>
  <c r="AE97" i="19"/>
  <c r="AH97" i="19"/>
  <c r="AD97" i="19"/>
  <c r="AL96" i="19"/>
  <c r="AE96" i="19"/>
  <c r="AH96" i="19"/>
  <c r="AD96" i="19"/>
  <c r="AK96" i="19"/>
  <c r="AL7" i="19"/>
  <c r="AL93" i="19"/>
  <c r="AF93" i="19"/>
  <c r="AE93" i="19"/>
  <c r="AD93" i="19"/>
  <c r="AL92" i="19"/>
  <c r="AE92" i="19"/>
  <c r="AH92" i="19"/>
  <c r="AD92" i="19"/>
  <c r="AK92" i="19"/>
  <c r="AL91" i="19"/>
  <c r="AE91" i="19"/>
  <c r="AH91" i="19"/>
  <c r="AD91" i="19"/>
  <c r="AL90" i="19"/>
  <c r="AE90" i="19"/>
  <c r="AH90" i="19"/>
  <c r="AD90" i="19"/>
  <c r="AL89" i="19"/>
  <c r="AE89" i="19"/>
  <c r="AH89" i="19"/>
  <c r="AD89" i="19"/>
  <c r="AK89" i="19"/>
  <c r="AL88" i="19"/>
  <c r="AE88" i="19"/>
  <c r="AH88" i="19"/>
  <c r="AD88" i="19"/>
  <c r="AK88" i="19"/>
  <c r="AL87" i="19"/>
  <c r="AE87" i="19"/>
  <c r="AH87" i="19"/>
  <c r="AD87" i="19"/>
  <c r="AL86" i="19"/>
  <c r="AE86" i="19"/>
  <c r="AH86" i="19"/>
  <c r="AD86" i="19"/>
  <c r="AL85" i="19"/>
  <c r="AE85" i="19"/>
  <c r="AH85" i="19"/>
  <c r="AD85" i="19"/>
  <c r="AK85" i="19"/>
  <c r="AF82" i="19"/>
  <c r="AL82" i="19"/>
  <c r="AE82" i="19"/>
  <c r="AD82" i="19"/>
  <c r="AL81" i="19"/>
  <c r="AE81" i="19"/>
  <c r="AH81" i="19"/>
  <c r="AD81" i="19"/>
  <c r="AK81" i="19"/>
  <c r="AL80" i="19"/>
  <c r="AE80" i="19"/>
  <c r="AH80" i="19"/>
  <c r="AD80" i="19"/>
  <c r="AL79" i="19"/>
  <c r="AE79" i="19"/>
  <c r="AH79" i="19"/>
  <c r="AD79" i="19"/>
  <c r="AL78" i="19"/>
  <c r="AE78" i="19"/>
  <c r="AH78" i="19"/>
  <c r="AD78" i="19"/>
  <c r="AL77" i="19"/>
  <c r="AE77" i="19"/>
  <c r="AH77" i="19"/>
  <c r="AD77" i="19"/>
  <c r="AK77" i="19"/>
  <c r="AL76" i="19"/>
  <c r="AE76" i="19"/>
  <c r="AH76" i="19"/>
  <c r="AD76" i="19"/>
  <c r="AK76" i="19"/>
  <c r="AL75" i="19"/>
  <c r="AE75" i="19"/>
  <c r="AH75" i="19"/>
  <c r="AD75" i="19"/>
  <c r="AL74" i="19"/>
  <c r="AE74" i="19"/>
  <c r="AH74" i="19"/>
  <c r="AD74" i="19"/>
  <c r="AL73" i="19"/>
  <c r="AE73" i="19"/>
  <c r="AH73" i="19"/>
  <c r="AD73" i="19"/>
  <c r="AK73" i="19"/>
  <c r="AF70" i="19"/>
  <c r="AL70" i="19"/>
  <c r="AE70" i="19"/>
  <c r="AD70" i="19"/>
  <c r="AL69" i="19"/>
  <c r="AE69" i="19"/>
  <c r="AH69" i="19"/>
  <c r="AD69" i="19"/>
  <c r="AK69" i="19"/>
  <c r="AL68" i="19"/>
  <c r="AE68" i="19"/>
  <c r="AH68" i="19"/>
  <c r="AD68" i="19"/>
  <c r="AL67" i="19"/>
  <c r="AE67" i="19"/>
  <c r="AH67" i="19"/>
  <c r="AD67" i="19"/>
  <c r="AL66" i="19"/>
  <c r="AE66" i="19"/>
  <c r="AH66" i="19"/>
  <c r="AD66" i="19"/>
  <c r="AK66" i="19"/>
  <c r="AL65" i="19"/>
  <c r="AE65" i="19"/>
  <c r="AH65" i="19"/>
  <c r="AD65" i="19"/>
  <c r="AK65" i="19"/>
  <c r="AL64" i="19"/>
  <c r="AE64" i="19"/>
  <c r="AH64" i="19"/>
  <c r="AD64" i="19"/>
  <c r="AL63" i="19"/>
  <c r="AE63" i="19"/>
  <c r="AH63" i="19"/>
  <c r="AD63" i="19"/>
  <c r="AL62" i="19"/>
  <c r="AE62" i="19"/>
  <c r="AH62" i="19"/>
  <c r="AD62" i="19"/>
  <c r="AK62" i="19"/>
  <c r="AL59" i="19"/>
  <c r="AE59" i="19"/>
  <c r="AH59" i="19"/>
  <c r="AD59" i="19"/>
  <c r="AL58" i="19"/>
  <c r="AE58" i="19"/>
  <c r="AH58" i="19"/>
  <c r="AD58" i="19"/>
  <c r="AK58" i="19"/>
  <c r="AF57" i="19"/>
  <c r="AL57" i="19"/>
  <c r="AE57" i="19"/>
  <c r="AD57" i="19"/>
  <c r="AL56" i="19"/>
  <c r="AE56" i="19"/>
  <c r="AH56" i="19"/>
  <c r="AD56" i="19"/>
  <c r="AL55" i="19"/>
  <c r="AE55" i="19"/>
  <c r="AH55" i="19"/>
  <c r="AD55" i="19"/>
  <c r="AL54" i="19"/>
  <c r="AE54" i="19"/>
  <c r="AH54" i="19"/>
  <c r="AD54" i="19"/>
  <c r="AK54" i="19"/>
  <c r="AL53" i="19"/>
  <c r="AE53" i="19"/>
  <c r="AH53" i="19"/>
  <c r="AD53" i="19"/>
  <c r="AL52" i="19"/>
  <c r="AE52" i="19"/>
  <c r="AH52" i="19"/>
  <c r="AD52" i="19"/>
  <c r="AK52" i="19"/>
  <c r="AL51" i="19"/>
  <c r="AE51" i="19"/>
  <c r="AH51" i="19"/>
  <c r="AD51" i="19"/>
  <c r="AL50" i="19"/>
  <c r="AE50" i="19"/>
  <c r="AH50" i="19"/>
  <c r="AD50" i="19"/>
  <c r="AL49" i="19"/>
  <c r="AE49" i="19"/>
  <c r="AH49" i="19"/>
  <c r="AD49" i="19"/>
  <c r="AK49" i="19"/>
  <c r="AL46" i="19"/>
  <c r="AE46" i="19"/>
  <c r="AH46" i="19"/>
  <c r="AD46" i="19"/>
  <c r="AL45" i="19"/>
  <c r="AE45" i="19"/>
  <c r="AH45" i="19"/>
  <c r="AD45" i="19"/>
  <c r="AK45" i="19"/>
  <c r="AF44" i="19"/>
  <c r="AL44" i="19"/>
  <c r="AE44" i="19"/>
  <c r="AD44" i="19"/>
  <c r="AL43" i="19"/>
  <c r="AE43" i="19"/>
  <c r="AH43" i="19"/>
  <c r="AD43" i="19"/>
  <c r="AL42" i="19"/>
  <c r="AE42" i="19"/>
  <c r="AH42" i="19"/>
  <c r="AD42" i="19"/>
  <c r="AL41" i="19"/>
  <c r="AE41" i="19"/>
  <c r="AH41" i="19"/>
  <c r="AD41" i="19"/>
  <c r="AK41" i="19"/>
  <c r="AF40" i="19"/>
  <c r="AE40" i="19"/>
  <c r="AD40" i="19"/>
  <c r="AL39" i="19"/>
  <c r="AE39" i="19"/>
  <c r="AH39" i="19"/>
  <c r="AD39" i="19"/>
  <c r="AK39" i="19"/>
  <c r="AL38" i="19"/>
  <c r="AE38" i="19"/>
  <c r="AH38" i="19"/>
  <c r="AD38" i="19"/>
  <c r="AL37" i="19"/>
  <c r="AE37" i="19"/>
  <c r="AH37" i="19"/>
  <c r="AD37" i="19"/>
  <c r="AL36" i="19"/>
  <c r="AE36" i="19"/>
  <c r="AH36" i="19"/>
  <c r="AD36" i="19"/>
  <c r="AK36" i="19"/>
  <c r="AL33" i="19"/>
  <c r="AE33" i="19"/>
  <c r="AH33" i="19"/>
  <c r="AD33" i="19"/>
  <c r="AL32" i="19"/>
  <c r="AE32" i="19"/>
  <c r="AH32" i="19"/>
  <c r="AD32" i="19"/>
  <c r="AK32" i="19"/>
  <c r="AF31" i="19"/>
  <c r="AL31" i="19"/>
  <c r="AE31" i="19"/>
  <c r="AD31" i="19"/>
  <c r="AL30" i="19"/>
  <c r="AE30" i="19"/>
  <c r="AH30" i="19"/>
  <c r="AD30" i="19"/>
  <c r="AL29" i="19"/>
  <c r="AE29" i="19"/>
  <c r="AH29" i="19"/>
  <c r="AD29" i="19"/>
  <c r="AL28" i="19"/>
  <c r="AE28" i="19"/>
  <c r="AH28" i="19"/>
  <c r="AD28" i="19"/>
  <c r="AK28" i="19"/>
  <c r="AL27" i="19"/>
  <c r="AE27" i="19"/>
  <c r="AH27" i="19"/>
  <c r="AD27" i="19"/>
  <c r="AL26" i="19"/>
  <c r="AE26" i="19"/>
  <c r="AH26" i="19"/>
  <c r="AD26" i="19"/>
  <c r="AK26" i="19"/>
  <c r="AL25" i="19"/>
  <c r="AE25" i="19"/>
  <c r="AH25" i="19"/>
  <c r="AD25" i="19"/>
  <c r="AL24" i="19"/>
  <c r="AE24" i="19"/>
  <c r="AH24" i="19"/>
  <c r="AD24" i="19"/>
  <c r="AL23" i="19"/>
  <c r="AE23" i="19"/>
  <c r="AH23" i="19"/>
  <c r="AD23" i="19"/>
  <c r="AK23" i="19"/>
  <c r="AE20" i="19"/>
  <c r="AH20" i="19"/>
  <c r="AL20" i="19"/>
  <c r="AD20" i="19"/>
  <c r="AK20" i="19"/>
  <c r="AF19" i="19"/>
  <c r="AE19" i="19"/>
  <c r="AD19" i="19"/>
  <c r="AK19" i="19"/>
  <c r="AE18" i="19"/>
  <c r="AD18" i="19"/>
  <c r="AF17" i="19"/>
  <c r="AE17" i="19"/>
  <c r="AD17" i="19"/>
  <c r="AE16" i="19"/>
  <c r="AH16" i="19"/>
  <c r="AD16" i="19"/>
  <c r="AL15" i="19"/>
  <c r="AE15" i="19"/>
  <c r="AH15" i="19"/>
  <c r="AD15" i="19"/>
  <c r="AL14" i="19"/>
  <c r="AE14" i="19"/>
  <c r="AH14" i="19"/>
  <c r="AD14" i="19"/>
  <c r="AL13" i="19"/>
  <c r="AE13" i="19"/>
  <c r="AH13" i="19"/>
  <c r="AD13" i="19"/>
  <c r="AL12" i="19"/>
  <c r="AE12" i="19"/>
  <c r="AH12" i="19"/>
  <c r="AD12" i="19"/>
  <c r="AF11" i="19"/>
  <c r="AE11" i="19"/>
  <c r="AD11" i="19"/>
  <c r="AK11" i="19"/>
  <c r="AL10" i="19"/>
  <c r="AE10" i="19"/>
  <c r="AH10" i="19"/>
  <c r="AD10" i="19"/>
  <c r="AL9" i="19"/>
  <c r="AE9" i="19"/>
  <c r="AH9" i="19"/>
  <c r="AD9" i="19"/>
  <c r="AF8" i="19"/>
  <c r="AE8" i="19"/>
  <c r="AD8" i="19"/>
  <c r="AK8" i="19"/>
  <c r="AE7" i="19"/>
  <c r="AH7" i="19"/>
  <c r="AD7" i="19"/>
  <c r="AL6" i="19"/>
  <c r="AE6" i="19"/>
  <c r="AH6" i="19"/>
  <c r="AD6" i="19"/>
  <c r="AL5" i="19"/>
  <c r="AE5" i="19"/>
  <c r="AH5" i="19"/>
  <c r="AD5" i="19"/>
  <c r="AF4" i="19"/>
  <c r="AE4" i="19"/>
  <c r="AD4" i="19"/>
  <c r="AK4" i="19"/>
  <c r="AH100" i="19"/>
  <c r="AL95" i="19"/>
  <c r="AH93" i="19"/>
  <c r="AH57" i="19"/>
  <c r="AH82" i="19"/>
  <c r="AH70" i="19"/>
  <c r="AH40" i="19"/>
  <c r="AH19" i="19"/>
  <c r="AL19" i="19"/>
  <c r="AH8" i="19"/>
  <c r="AL40" i="19"/>
  <c r="AH44" i="19"/>
  <c r="AH4" i="19"/>
  <c r="AH17" i="19"/>
  <c r="AL17" i="19"/>
  <c r="AL8" i="19"/>
  <c r="AH31" i="19"/>
  <c r="AL4" i="19"/>
  <c r="AH11" i="19"/>
  <c r="AL11" i="19"/>
  <c r="AL16" i="19"/>
  <c r="AH18" i="19"/>
  <c r="AL18" i="19"/>
  <c r="D14" i="27"/>
  <c r="E14" i="27"/>
  <c r="H4" i="10"/>
  <c r="F4" i="10"/>
  <c r="G4" i="10"/>
  <c r="H44" i="10"/>
  <c r="H43" i="10"/>
  <c r="H42" i="10"/>
  <c r="H41" i="10"/>
  <c r="H40" i="10"/>
  <c r="H39" i="10"/>
  <c r="H38" i="10"/>
  <c r="G44" i="10"/>
  <c r="G43" i="10"/>
  <c r="G42" i="10"/>
  <c r="G41" i="10"/>
  <c r="G40" i="10"/>
  <c r="G39" i="10"/>
  <c r="G38" i="10"/>
  <c r="F44" i="10"/>
  <c r="F43" i="10"/>
  <c r="F42" i="10"/>
  <c r="F41" i="10"/>
  <c r="F40" i="10"/>
  <c r="F39" i="10"/>
  <c r="F38" i="10"/>
  <c r="E13" i="27"/>
  <c r="E44" i="10"/>
  <c r="E54" i="10"/>
  <c r="E64" i="10"/>
  <c r="E74" i="10"/>
  <c r="E84" i="10"/>
  <c r="M13" i="11"/>
  <c r="AK104" i="19"/>
  <c r="AK105" i="19"/>
  <c r="H3" i="29"/>
  <c r="D11" i="27"/>
  <c r="E11" i="27"/>
  <c r="B4" i="29"/>
  <c r="F4" i="29"/>
  <c r="H4" i="29"/>
  <c r="E61" i="9"/>
  <c r="H62" i="9"/>
  <c r="E62" i="9"/>
  <c r="H8" i="11"/>
  <c r="H37" i="11"/>
  <c r="H63" i="9"/>
  <c r="H64" i="9"/>
  <c r="H60" i="29"/>
  <c r="AJ6" i="29"/>
  <c r="W4" i="6"/>
  <c r="W5" i="6"/>
  <c r="E12" i="9"/>
  <c r="E22" i="9"/>
  <c r="K7" i="11"/>
  <c r="E75" i="9"/>
  <c r="E12" i="17"/>
  <c r="E22" i="17"/>
  <c r="K23" i="11"/>
  <c r="E11" i="6"/>
  <c r="E32" i="9"/>
  <c r="E42" i="9"/>
  <c r="E52" i="9"/>
  <c r="J9" i="11"/>
  <c r="E95" i="9"/>
  <c r="E115" i="9"/>
  <c r="E125" i="9"/>
  <c r="E32" i="17"/>
  <c r="E52" i="17"/>
  <c r="J25" i="11"/>
  <c r="H10" i="6"/>
  <c r="E9" i="10"/>
  <c r="E19" i="10"/>
  <c r="E29" i="10"/>
  <c r="I12" i="11"/>
  <c r="E40" i="10"/>
  <c r="E50" i="10"/>
  <c r="E60" i="10"/>
  <c r="E70" i="10"/>
  <c r="E80" i="10"/>
  <c r="I13" i="11"/>
  <c r="E35" i="10"/>
  <c r="E45" i="10"/>
  <c r="E55" i="10"/>
  <c r="E65" i="10"/>
  <c r="E75" i="10"/>
  <c r="D13" i="11"/>
  <c r="E5" i="9"/>
  <c r="D7" i="11"/>
  <c r="E15" i="9"/>
  <c r="E6" i="9"/>
  <c r="E16" i="9"/>
  <c r="E7" i="11"/>
  <c r="E7" i="9"/>
  <c r="E17" i="9"/>
  <c r="F7" i="11"/>
  <c r="E8" i="9"/>
  <c r="E18" i="9"/>
  <c r="G7" i="11"/>
  <c r="E9" i="9"/>
  <c r="E19" i="9"/>
  <c r="H7" i="11"/>
  <c r="E10" i="9"/>
  <c r="E20" i="9"/>
  <c r="I7" i="11"/>
  <c r="E11" i="9"/>
  <c r="E21" i="9"/>
  <c r="J7" i="11"/>
  <c r="E13" i="9"/>
  <c r="E23" i="9"/>
  <c r="L7" i="11"/>
  <c r="E14" i="9"/>
  <c r="E24" i="9"/>
  <c r="M7" i="11"/>
  <c r="AB67" i="3"/>
  <c r="T75" i="3"/>
  <c r="V69" i="3"/>
  <c r="AB46" i="3"/>
  <c r="AB36" i="3"/>
  <c r="AB127" i="3"/>
  <c r="K133" i="3"/>
  <c r="L133" i="3"/>
  <c r="J133" i="3"/>
  <c r="G135" i="3"/>
  <c r="Z38" i="3"/>
  <c r="Z37" i="3"/>
  <c r="W38" i="3"/>
  <c r="W37" i="3"/>
  <c r="T38" i="3"/>
  <c r="T37" i="3"/>
  <c r="Q39" i="3"/>
  <c r="Q38" i="3"/>
  <c r="K8" i="3"/>
  <c r="K7" i="3"/>
  <c r="H8" i="3"/>
  <c r="H7" i="3"/>
  <c r="H6" i="3"/>
  <c r="H150" i="9"/>
  <c r="H129" i="9"/>
  <c r="H4" i="9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15" i="3"/>
  <c r="AA8" i="3"/>
  <c r="AA9" i="3"/>
  <c r="AA10" i="3"/>
  <c r="AA11" i="3"/>
  <c r="AA12" i="3"/>
  <c r="AA13" i="3"/>
  <c r="AA14" i="3"/>
  <c r="AA7" i="3"/>
  <c r="AA6" i="3"/>
  <c r="G87" i="3"/>
  <c r="H87" i="3"/>
  <c r="I87" i="3"/>
  <c r="D8" i="1"/>
  <c r="G77" i="3"/>
  <c r="G67" i="3"/>
  <c r="E170" i="9"/>
  <c r="E163" i="9"/>
  <c r="E164" i="9"/>
  <c r="E165" i="9"/>
  <c r="E166" i="9"/>
  <c r="E167" i="9"/>
  <c r="E157" i="9"/>
  <c r="J11" i="11"/>
  <c r="E168" i="9"/>
  <c r="E169" i="9"/>
  <c r="E162" i="9"/>
  <c r="E161" i="9"/>
  <c r="E160" i="9"/>
  <c r="E153" i="9"/>
  <c r="E154" i="9"/>
  <c r="E155" i="9"/>
  <c r="E156" i="9"/>
  <c r="E158" i="9"/>
  <c r="E159" i="9"/>
  <c r="E152" i="9"/>
  <c r="E151" i="9"/>
  <c r="E149" i="9"/>
  <c r="E142" i="9"/>
  <c r="E143" i="9"/>
  <c r="E144" i="9"/>
  <c r="E145" i="9"/>
  <c r="E146" i="9"/>
  <c r="E147" i="9"/>
  <c r="E148" i="9"/>
  <c r="E139" i="9"/>
  <c r="E132" i="9"/>
  <c r="E133" i="9"/>
  <c r="E134" i="9"/>
  <c r="E135" i="9"/>
  <c r="E136" i="9"/>
  <c r="E137" i="9"/>
  <c r="E138" i="9"/>
  <c r="E128" i="9"/>
  <c r="E121" i="9"/>
  <c r="E122" i="9"/>
  <c r="E123" i="9"/>
  <c r="E124" i="9"/>
  <c r="E126" i="9"/>
  <c r="E127" i="9"/>
  <c r="E120" i="9"/>
  <c r="E119" i="9"/>
  <c r="E118" i="9"/>
  <c r="E111" i="9"/>
  <c r="E112" i="9"/>
  <c r="E113" i="9"/>
  <c r="E114" i="9"/>
  <c r="E116" i="9"/>
  <c r="E117" i="9"/>
  <c r="E110" i="9"/>
  <c r="E109" i="9"/>
  <c r="E100" i="9"/>
  <c r="E99" i="9"/>
  <c r="E98" i="9"/>
  <c r="E91" i="9"/>
  <c r="E92" i="9"/>
  <c r="E93" i="9"/>
  <c r="E94" i="9"/>
  <c r="E96" i="9"/>
  <c r="E97" i="9"/>
  <c r="E90" i="9"/>
  <c r="E89" i="9"/>
  <c r="E80" i="9"/>
  <c r="E79" i="9"/>
  <c r="E77" i="9"/>
  <c r="E70" i="9"/>
  <c r="E71" i="9"/>
  <c r="E72" i="9"/>
  <c r="E73" i="9"/>
  <c r="E74" i="9"/>
  <c r="E76" i="9"/>
  <c r="E69" i="9"/>
  <c r="E68" i="9"/>
  <c r="E60" i="9"/>
  <c r="E59" i="9"/>
  <c r="E58" i="9"/>
  <c r="E55" i="9"/>
  <c r="E49" i="9"/>
  <c r="E50" i="9"/>
  <c r="E51" i="9"/>
  <c r="E53" i="9"/>
  <c r="E54" i="9"/>
  <c r="E48" i="9"/>
  <c r="E47" i="9"/>
  <c r="E46" i="9"/>
  <c r="E38" i="9"/>
  <c r="E39" i="9"/>
  <c r="E40" i="9"/>
  <c r="E41" i="9"/>
  <c r="J38" i="11"/>
  <c r="E43" i="9"/>
  <c r="E44" i="9"/>
  <c r="E45" i="9"/>
  <c r="E37" i="9"/>
  <c r="E36" i="9"/>
  <c r="E28" i="9"/>
  <c r="E29" i="9"/>
  <c r="E30" i="9"/>
  <c r="E31" i="9"/>
  <c r="E33" i="9"/>
  <c r="E34" i="9"/>
  <c r="L9" i="11"/>
  <c r="L38" i="11"/>
  <c r="E35" i="9"/>
  <c r="J36" i="11"/>
  <c r="P3" i="3"/>
  <c r="E43" i="18"/>
  <c r="E36" i="18"/>
  <c r="E37" i="18"/>
  <c r="E38" i="18"/>
  <c r="E39" i="18"/>
  <c r="E40" i="18"/>
  <c r="E41" i="18"/>
  <c r="E42" i="18"/>
  <c r="E35" i="18"/>
  <c r="E34" i="18"/>
  <c r="E18" i="18"/>
  <c r="E23" i="18"/>
  <c r="E16" i="18"/>
  <c r="E17" i="18"/>
  <c r="E19" i="18"/>
  <c r="E20" i="18"/>
  <c r="E21" i="18"/>
  <c r="E22" i="18"/>
  <c r="E15" i="18"/>
  <c r="E14" i="18"/>
  <c r="E13" i="18"/>
  <c r="E5" i="18"/>
  <c r="E6" i="18"/>
  <c r="E7" i="18"/>
  <c r="E8" i="18"/>
  <c r="E9" i="18"/>
  <c r="E10" i="18"/>
  <c r="E11" i="18"/>
  <c r="E12" i="18"/>
  <c r="E4" i="18"/>
  <c r="E55" i="17"/>
  <c r="E48" i="17"/>
  <c r="E49" i="17"/>
  <c r="E50" i="17"/>
  <c r="E51" i="17"/>
  <c r="E53" i="17"/>
  <c r="E54" i="17"/>
  <c r="E47" i="17"/>
  <c r="E46" i="17"/>
  <c r="E35" i="17"/>
  <c r="E28" i="17"/>
  <c r="E29" i="17"/>
  <c r="E30" i="17"/>
  <c r="E31" i="17"/>
  <c r="E33" i="17"/>
  <c r="E34" i="17"/>
  <c r="E27" i="17"/>
  <c r="E26" i="17"/>
  <c r="E17" i="17"/>
  <c r="E18" i="17"/>
  <c r="E19" i="17"/>
  <c r="E20" i="17"/>
  <c r="E21" i="17"/>
  <c r="E23" i="17"/>
  <c r="E16" i="17"/>
  <c r="E24" i="17"/>
  <c r="E15" i="17"/>
  <c r="E6" i="17"/>
  <c r="E7" i="17"/>
  <c r="E8" i="17"/>
  <c r="E9" i="17"/>
  <c r="E10" i="17"/>
  <c r="E11" i="17"/>
  <c r="E13" i="17"/>
  <c r="E14" i="17"/>
  <c r="E5" i="17"/>
  <c r="E7" i="3"/>
  <c r="E8" i="3"/>
  <c r="E9" i="3"/>
  <c r="E10" i="3"/>
  <c r="E11" i="3"/>
  <c r="E12" i="3"/>
  <c r="E13" i="3"/>
  <c r="E14" i="3"/>
  <c r="E15" i="3"/>
  <c r="E6" i="3"/>
  <c r="D13" i="3"/>
  <c r="D14" i="3"/>
  <c r="D15" i="3"/>
  <c r="D12" i="3"/>
  <c r="D9" i="3"/>
  <c r="D11" i="3"/>
  <c r="D10" i="3"/>
  <c r="D8" i="3"/>
  <c r="D7" i="3"/>
  <c r="D6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7" i="3"/>
  <c r="O8" i="3"/>
  <c r="O9" i="3"/>
  <c r="O10" i="3"/>
  <c r="O11" i="3"/>
  <c r="O12" i="3"/>
  <c r="O13" i="3"/>
  <c r="O14" i="3"/>
  <c r="O15" i="3"/>
  <c r="O6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7" i="3"/>
  <c r="L8" i="3"/>
  <c r="L9" i="3"/>
  <c r="L10" i="3"/>
  <c r="L11" i="3"/>
  <c r="L12" i="3"/>
  <c r="L13" i="3"/>
  <c r="L14" i="3"/>
  <c r="L15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L6" i="3"/>
  <c r="I6" i="3"/>
  <c r="M136" i="3"/>
  <c r="M135" i="3"/>
  <c r="M134" i="3"/>
  <c r="M133" i="3"/>
  <c r="M132" i="3"/>
  <c r="M131" i="3"/>
  <c r="M130" i="3"/>
  <c r="M129" i="3"/>
  <c r="M128" i="3"/>
  <c r="M127" i="3"/>
  <c r="N126" i="3"/>
  <c r="M126" i="3"/>
  <c r="O126" i="3"/>
  <c r="N125" i="3"/>
  <c r="M125" i="3"/>
  <c r="O125" i="3"/>
  <c r="N124" i="3"/>
  <c r="M124" i="3"/>
  <c r="O124" i="3"/>
  <c r="N123" i="3"/>
  <c r="M123" i="3"/>
  <c r="O123" i="3"/>
  <c r="N122" i="3"/>
  <c r="M122" i="3"/>
  <c r="O122" i="3"/>
  <c r="N121" i="3"/>
  <c r="M121" i="3"/>
  <c r="O121" i="3"/>
  <c r="N120" i="3"/>
  <c r="M120" i="3"/>
  <c r="O120" i="3"/>
  <c r="N119" i="3"/>
  <c r="M119" i="3"/>
  <c r="O119" i="3"/>
  <c r="N118" i="3"/>
  <c r="M118" i="3"/>
  <c r="O118" i="3"/>
  <c r="N117" i="3"/>
  <c r="M117" i="3"/>
  <c r="N116" i="3"/>
  <c r="M116" i="3"/>
  <c r="O116" i="3"/>
  <c r="N115" i="3"/>
  <c r="M115" i="3"/>
  <c r="O115" i="3"/>
  <c r="N114" i="3"/>
  <c r="M114" i="3"/>
  <c r="O114" i="3"/>
  <c r="N113" i="3"/>
  <c r="M113" i="3"/>
  <c r="O113" i="3"/>
  <c r="N112" i="3"/>
  <c r="M112" i="3"/>
  <c r="O112" i="3"/>
  <c r="N111" i="3"/>
  <c r="M111" i="3"/>
  <c r="O111" i="3"/>
  <c r="N110" i="3"/>
  <c r="M110" i="3"/>
  <c r="O110" i="3"/>
  <c r="N109" i="3"/>
  <c r="M109" i="3"/>
  <c r="O109" i="3"/>
  <c r="N108" i="3"/>
  <c r="M108" i="3"/>
  <c r="N107" i="3"/>
  <c r="M107" i="3"/>
  <c r="N96" i="3"/>
  <c r="M96" i="3"/>
  <c r="O96" i="3"/>
  <c r="N95" i="3"/>
  <c r="M95" i="3"/>
  <c r="O95" i="3"/>
  <c r="N94" i="3"/>
  <c r="M94" i="3"/>
  <c r="O94" i="3"/>
  <c r="N93" i="3"/>
  <c r="M93" i="3"/>
  <c r="O93" i="3"/>
  <c r="N92" i="3"/>
  <c r="M92" i="3"/>
  <c r="O92" i="3"/>
  <c r="N91" i="3"/>
  <c r="M91" i="3"/>
  <c r="O91" i="3"/>
  <c r="N90" i="3"/>
  <c r="M90" i="3"/>
  <c r="O90" i="3"/>
  <c r="N89" i="3"/>
  <c r="M89" i="3"/>
  <c r="O89" i="3"/>
  <c r="N88" i="3"/>
  <c r="M88" i="3"/>
  <c r="O88" i="3"/>
  <c r="N87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J136" i="3"/>
  <c r="J135" i="3"/>
  <c r="J134" i="3"/>
  <c r="J132" i="3"/>
  <c r="J131" i="3"/>
  <c r="J130" i="3"/>
  <c r="J129" i="3"/>
  <c r="J128" i="3"/>
  <c r="J127" i="3"/>
  <c r="K126" i="3"/>
  <c r="J126" i="3"/>
  <c r="L126" i="3"/>
  <c r="K125" i="3"/>
  <c r="J125" i="3"/>
  <c r="K124" i="3"/>
  <c r="J124" i="3"/>
  <c r="K123" i="3"/>
  <c r="J123" i="3"/>
  <c r="L123" i="3"/>
  <c r="K122" i="3"/>
  <c r="J122" i="3"/>
  <c r="L122" i="3"/>
  <c r="K121" i="3"/>
  <c r="J121" i="3"/>
  <c r="K120" i="3"/>
  <c r="J120" i="3"/>
  <c r="L120" i="3"/>
  <c r="K119" i="3"/>
  <c r="J119" i="3"/>
  <c r="K118" i="3"/>
  <c r="J118" i="3"/>
  <c r="L118" i="3"/>
  <c r="K117" i="3"/>
  <c r="J117" i="3"/>
  <c r="K116" i="3"/>
  <c r="J116" i="3"/>
  <c r="L116" i="3"/>
  <c r="K115" i="3"/>
  <c r="J115" i="3"/>
  <c r="K114" i="3"/>
  <c r="J114" i="3"/>
  <c r="K113" i="3"/>
  <c r="J113" i="3"/>
  <c r="L113" i="3"/>
  <c r="K112" i="3"/>
  <c r="J112" i="3"/>
  <c r="K111" i="3"/>
  <c r="J111" i="3"/>
  <c r="L111" i="3"/>
  <c r="K110" i="3"/>
  <c r="J110" i="3"/>
  <c r="L110" i="3"/>
  <c r="K109" i="3"/>
  <c r="J109" i="3"/>
  <c r="L109" i="3"/>
  <c r="K108" i="3"/>
  <c r="J108" i="3"/>
  <c r="K107" i="3"/>
  <c r="J107" i="3"/>
  <c r="L107" i="3"/>
  <c r="K96" i="3"/>
  <c r="J96" i="3"/>
  <c r="K95" i="3"/>
  <c r="J95" i="3"/>
  <c r="K94" i="3"/>
  <c r="J94" i="3"/>
  <c r="L94" i="3"/>
  <c r="K93" i="3"/>
  <c r="J93" i="3"/>
  <c r="L93" i="3"/>
  <c r="K92" i="3"/>
  <c r="J92" i="3"/>
  <c r="K91" i="3"/>
  <c r="J91" i="3"/>
  <c r="K90" i="3"/>
  <c r="J90" i="3"/>
  <c r="K89" i="3"/>
  <c r="J89" i="3"/>
  <c r="K88" i="3"/>
  <c r="J88" i="3"/>
  <c r="L88" i="3"/>
  <c r="K87" i="3"/>
  <c r="J87" i="3"/>
  <c r="L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G136" i="3"/>
  <c r="G134" i="3"/>
  <c r="G133" i="3"/>
  <c r="G132" i="3"/>
  <c r="G131" i="3"/>
  <c r="G130" i="3"/>
  <c r="G129" i="3"/>
  <c r="G128" i="3"/>
  <c r="G127" i="3"/>
  <c r="H126" i="3"/>
  <c r="G126" i="3"/>
  <c r="I126" i="3"/>
  <c r="H125" i="3"/>
  <c r="G125" i="3"/>
  <c r="I125" i="3"/>
  <c r="H124" i="3"/>
  <c r="G124" i="3"/>
  <c r="I124" i="3"/>
  <c r="H123" i="3"/>
  <c r="G123" i="3"/>
  <c r="H122" i="3"/>
  <c r="G122" i="3"/>
  <c r="I122" i="3"/>
  <c r="H121" i="3"/>
  <c r="G121" i="3"/>
  <c r="I121" i="3"/>
  <c r="H120" i="3"/>
  <c r="G120" i="3"/>
  <c r="H119" i="3"/>
  <c r="G119" i="3"/>
  <c r="I119" i="3"/>
  <c r="H118" i="3"/>
  <c r="G118" i="3"/>
  <c r="I118" i="3"/>
  <c r="H117" i="3"/>
  <c r="G117" i="3"/>
  <c r="H116" i="3"/>
  <c r="G116" i="3"/>
  <c r="H115" i="3"/>
  <c r="G115" i="3"/>
  <c r="I115" i="3"/>
  <c r="H114" i="3"/>
  <c r="G114" i="3"/>
  <c r="I114" i="3"/>
  <c r="H113" i="3"/>
  <c r="G113" i="3"/>
  <c r="H112" i="3"/>
  <c r="G112" i="3"/>
  <c r="H111" i="3"/>
  <c r="G111" i="3"/>
  <c r="H110" i="3"/>
  <c r="G110" i="3"/>
  <c r="H109" i="3"/>
  <c r="G109" i="3"/>
  <c r="H108" i="3"/>
  <c r="G108" i="3"/>
  <c r="I108" i="3"/>
  <c r="H107" i="3"/>
  <c r="G107" i="3"/>
  <c r="I107" i="3"/>
  <c r="H96" i="3"/>
  <c r="G96" i="3"/>
  <c r="I96" i="3"/>
  <c r="H95" i="3"/>
  <c r="G95" i="3"/>
  <c r="H94" i="3"/>
  <c r="G94" i="3"/>
  <c r="I94" i="3"/>
  <c r="H93" i="3"/>
  <c r="G93" i="3"/>
  <c r="H92" i="3"/>
  <c r="G92" i="3"/>
  <c r="I92" i="3"/>
  <c r="H91" i="3"/>
  <c r="G91" i="3"/>
  <c r="I91" i="3"/>
  <c r="H90" i="3"/>
  <c r="G90" i="3"/>
  <c r="H89" i="3"/>
  <c r="G89" i="3"/>
  <c r="H88" i="3"/>
  <c r="G88" i="3"/>
  <c r="I88" i="3"/>
  <c r="G86" i="3"/>
  <c r="G85" i="3"/>
  <c r="G84" i="3"/>
  <c r="G83" i="3"/>
  <c r="G82" i="3"/>
  <c r="G81" i="3"/>
  <c r="G80" i="3"/>
  <c r="G79" i="3"/>
  <c r="G78" i="3"/>
  <c r="G76" i="3"/>
  <c r="G75" i="3"/>
  <c r="G74" i="3"/>
  <c r="G73" i="3"/>
  <c r="G72" i="3"/>
  <c r="G71" i="3"/>
  <c r="G70" i="3"/>
  <c r="G69" i="3"/>
  <c r="G68" i="3"/>
  <c r="O107" i="3"/>
  <c r="I117" i="3"/>
  <c r="L89" i="3"/>
  <c r="L108" i="3"/>
  <c r="L115" i="3"/>
  <c r="L117" i="3"/>
  <c r="L124" i="3"/>
  <c r="L95" i="3"/>
  <c r="L112" i="3"/>
  <c r="L119" i="3"/>
  <c r="L121" i="3"/>
  <c r="I111" i="3"/>
  <c r="L90" i="3"/>
  <c r="L125" i="3"/>
  <c r="P77" i="3"/>
  <c r="E25" i="17"/>
  <c r="E138" i="14"/>
  <c r="E137" i="14"/>
  <c r="E136" i="14"/>
  <c r="E135" i="14"/>
  <c r="E134" i="14"/>
  <c r="E133" i="14"/>
  <c r="E132" i="14"/>
  <c r="E131" i="14"/>
  <c r="E130" i="14"/>
  <c r="E129" i="14"/>
  <c r="E128" i="14"/>
  <c r="D128" i="14"/>
  <c r="E127" i="14"/>
  <c r="D127" i="14"/>
  <c r="E126" i="14"/>
  <c r="D126" i="14"/>
  <c r="E125" i="14"/>
  <c r="D125" i="14"/>
  <c r="E124" i="14"/>
  <c r="D124" i="14"/>
  <c r="E123" i="14"/>
  <c r="D123" i="14"/>
  <c r="E122" i="14"/>
  <c r="D122" i="14"/>
  <c r="E121" i="14"/>
  <c r="D121" i="14"/>
  <c r="E120" i="14"/>
  <c r="D120" i="14"/>
  <c r="E119" i="14"/>
  <c r="D119" i="14"/>
  <c r="E118" i="14"/>
  <c r="E117" i="14"/>
  <c r="E116" i="14"/>
  <c r="E115" i="14"/>
  <c r="E114" i="14"/>
  <c r="E113" i="14"/>
  <c r="E112" i="14"/>
  <c r="E111" i="14"/>
  <c r="E110" i="14"/>
  <c r="E109" i="14"/>
  <c r="A107" i="14"/>
  <c r="E103" i="14"/>
  <c r="E102" i="14"/>
  <c r="E101" i="14"/>
  <c r="E100" i="14"/>
  <c r="E99" i="14"/>
  <c r="E98" i="14"/>
  <c r="E97" i="14"/>
  <c r="E96" i="14"/>
  <c r="E95" i="14"/>
  <c r="E94" i="14"/>
  <c r="E93" i="14"/>
  <c r="D93" i="14"/>
  <c r="E92" i="14"/>
  <c r="D92" i="14"/>
  <c r="E91" i="14"/>
  <c r="D91" i="14"/>
  <c r="E90" i="14"/>
  <c r="D90" i="14"/>
  <c r="E89" i="14"/>
  <c r="D89" i="14"/>
  <c r="E88" i="14"/>
  <c r="D88" i="14"/>
  <c r="E87" i="14"/>
  <c r="D87" i="14"/>
  <c r="E86" i="14"/>
  <c r="D86" i="14"/>
  <c r="E85" i="14"/>
  <c r="D85" i="14"/>
  <c r="E84" i="14"/>
  <c r="D84" i="14"/>
  <c r="E83" i="14"/>
  <c r="E82" i="14"/>
  <c r="E81" i="14"/>
  <c r="E80" i="14"/>
  <c r="E79" i="14"/>
  <c r="E78" i="14"/>
  <c r="E77" i="14"/>
  <c r="E76" i="14"/>
  <c r="E75" i="14"/>
  <c r="E74" i="14"/>
  <c r="A72" i="14"/>
  <c r="E68" i="14"/>
  <c r="E67" i="14"/>
  <c r="E66" i="14"/>
  <c r="E65" i="14"/>
  <c r="E64" i="14"/>
  <c r="E63" i="14"/>
  <c r="E62" i="14"/>
  <c r="E61" i="14"/>
  <c r="E60" i="14"/>
  <c r="E59" i="14"/>
  <c r="E58" i="14"/>
  <c r="D58" i="14"/>
  <c r="E57" i="14"/>
  <c r="D57" i="14"/>
  <c r="E56" i="14"/>
  <c r="D56" i="14"/>
  <c r="E55" i="14"/>
  <c r="D55" i="14"/>
  <c r="E54" i="14"/>
  <c r="D54" i="14"/>
  <c r="E53" i="14"/>
  <c r="D53" i="14"/>
  <c r="E52" i="14"/>
  <c r="D52" i="14"/>
  <c r="E51" i="14"/>
  <c r="D51" i="14"/>
  <c r="E50" i="14"/>
  <c r="D50" i="14"/>
  <c r="E49" i="14"/>
  <c r="D49" i="14"/>
  <c r="E48" i="14"/>
  <c r="E47" i="14"/>
  <c r="E46" i="14"/>
  <c r="E45" i="14"/>
  <c r="E44" i="14"/>
  <c r="E43" i="14"/>
  <c r="E42" i="14"/>
  <c r="E41" i="14"/>
  <c r="E40" i="14"/>
  <c r="E39" i="14"/>
  <c r="A37" i="14"/>
  <c r="E33" i="14"/>
  <c r="E32" i="14"/>
  <c r="E31" i="14"/>
  <c r="E30" i="14"/>
  <c r="E29" i="14"/>
  <c r="E28" i="14"/>
  <c r="E27" i="14"/>
  <c r="E26" i="14"/>
  <c r="E25" i="14"/>
  <c r="E24" i="14"/>
  <c r="E23" i="14"/>
  <c r="D23" i="14"/>
  <c r="E22" i="14"/>
  <c r="D22" i="14"/>
  <c r="E21" i="14"/>
  <c r="D21" i="14"/>
  <c r="E20" i="14"/>
  <c r="D20" i="14"/>
  <c r="E19" i="14"/>
  <c r="D19" i="14"/>
  <c r="E18" i="14"/>
  <c r="D18" i="14"/>
  <c r="E17" i="14"/>
  <c r="D17" i="14"/>
  <c r="E16" i="14"/>
  <c r="D16" i="14"/>
  <c r="E15" i="14"/>
  <c r="D15" i="14"/>
  <c r="E14" i="14"/>
  <c r="D14" i="14"/>
  <c r="E13" i="14"/>
  <c r="E12" i="14"/>
  <c r="E11" i="14"/>
  <c r="E10" i="14"/>
  <c r="E9" i="14"/>
  <c r="E8" i="14"/>
  <c r="E7" i="14"/>
  <c r="E6" i="14"/>
  <c r="E5" i="14"/>
  <c r="E4" i="14"/>
  <c r="A2" i="14"/>
  <c r="AP6" i="26"/>
  <c r="AP7" i="26"/>
  <c r="AP8" i="26"/>
  <c r="AP9" i="26"/>
  <c r="AP10" i="26"/>
  <c r="AP11" i="26"/>
  <c r="AP12" i="26"/>
  <c r="AO12" i="26"/>
  <c r="AN12" i="26"/>
  <c r="AM12" i="26"/>
  <c r="AF12" i="26"/>
  <c r="AE12" i="26"/>
  <c r="AD12" i="26"/>
  <c r="AC12" i="26"/>
  <c r="AH11" i="26"/>
  <c r="AG11" i="26"/>
  <c r="AI11" i="26"/>
  <c r="AH10" i="26"/>
  <c r="AG10" i="26"/>
  <c r="AH9" i="26"/>
  <c r="AG9" i="26"/>
  <c r="AI9" i="26"/>
  <c r="AH8" i="26"/>
  <c r="AG8" i="26"/>
  <c r="AI8" i="26"/>
  <c r="AH7" i="26"/>
  <c r="AG7" i="26"/>
  <c r="AI7" i="26"/>
  <c r="AH6" i="26"/>
  <c r="AG6" i="26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2" i="27"/>
  <c r="E10" i="27"/>
  <c r="E9" i="27"/>
  <c r="E8" i="27"/>
  <c r="E7" i="27"/>
  <c r="E6" i="27"/>
  <c r="E5" i="27"/>
  <c r="E4" i="27"/>
  <c r="E3" i="27"/>
  <c r="AK106" i="19"/>
  <c r="E83" i="10"/>
  <c r="E82" i="10"/>
  <c r="E81" i="10"/>
  <c r="E79" i="10"/>
  <c r="E78" i="10"/>
  <c r="E77" i="10"/>
  <c r="E76" i="10"/>
  <c r="E73" i="10"/>
  <c r="E72" i="10"/>
  <c r="E71" i="10"/>
  <c r="E69" i="10"/>
  <c r="E68" i="10"/>
  <c r="E67" i="10"/>
  <c r="E66" i="10"/>
  <c r="E63" i="10"/>
  <c r="E62" i="10"/>
  <c r="E61" i="10"/>
  <c r="E59" i="10"/>
  <c r="E58" i="10"/>
  <c r="E57" i="10"/>
  <c r="E56" i="10"/>
  <c r="E53" i="10"/>
  <c r="E52" i="10"/>
  <c r="E51" i="10"/>
  <c r="E48" i="10"/>
  <c r="E47" i="10"/>
  <c r="E46" i="10"/>
  <c r="E43" i="10"/>
  <c r="L13" i="11"/>
  <c r="L27" i="11"/>
  <c r="L42" i="11"/>
  <c r="E12" i="10"/>
  <c r="E22" i="10"/>
  <c r="E32" i="10"/>
  <c r="L12" i="11"/>
  <c r="L41" i="11"/>
  <c r="L36" i="11"/>
  <c r="L23" i="11"/>
  <c r="L25" i="11"/>
  <c r="L11" i="11"/>
  <c r="L40" i="11"/>
  <c r="E42" i="10"/>
  <c r="K13" i="11"/>
  <c r="K27" i="11"/>
  <c r="K42" i="11"/>
  <c r="E11" i="10"/>
  <c r="E21" i="10"/>
  <c r="E31" i="10"/>
  <c r="K12" i="11"/>
  <c r="K41" i="11"/>
  <c r="K36" i="11"/>
  <c r="K9" i="11"/>
  <c r="K38" i="11"/>
  <c r="K25" i="11"/>
  <c r="K11" i="11"/>
  <c r="K40" i="11"/>
  <c r="E41" i="10"/>
  <c r="J13" i="11"/>
  <c r="E39" i="10"/>
  <c r="H13" i="11"/>
  <c r="H27" i="11"/>
  <c r="H42" i="11"/>
  <c r="E8" i="10"/>
  <c r="E18" i="10"/>
  <c r="E28" i="10"/>
  <c r="H12" i="11"/>
  <c r="H41" i="11"/>
  <c r="H36" i="11"/>
  <c r="H23" i="11"/>
  <c r="H9" i="11"/>
  <c r="H38" i="11"/>
  <c r="H25" i="11"/>
  <c r="H11" i="11"/>
  <c r="H40" i="11"/>
  <c r="E38" i="10"/>
  <c r="G13" i="11"/>
  <c r="E37" i="10"/>
  <c r="F13" i="11"/>
  <c r="E36" i="10"/>
  <c r="S12" i="20"/>
  <c r="H34" i="10"/>
  <c r="R12" i="20"/>
  <c r="G34" i="10"/>
  <c r="Q12" i="20"/>
  <c r="F34" i="10"/>
  <c r="P12" i="20"/>
  <c r="F57" i="9"/>
  <c r="P11" i="20"/>
  <c r="E33" i="10"/>
  <c r="E30" i="10"/>
  <c r="E27" i="10"/>
  <c r="E26" i="10"/>
  <c r="E25" i="10"/>
  <c r="E24" i="10"/>
  <c r="E23" i="10"/>
  <c r="E20" i="10"/>
  <c r="E10" i="10"/>
  <c r="J12" i="11"/>
  <c r="E17" i="10"/>
  <c r="E16" i="10"/>
  <c r="E6" i="10"/>
  <c r="F12" i="11"/>
  <c r="E15" i="10"/>
  <c r="E14" i="10"/>
  <c r="E13" i="10"/>
  <c r="E7" i="10"/>
  <c r="E5" i="10"/>
  <c r="E4" i="10"/>
  <c r="D12" i="11"/>
  <c r="S8" i="20"/>
  <c r="H3" i="10"/>
  <c r="R8" i="20"/>
  <c r="G3" i="10"/>
  <c r="Q8" i="20"/>
  <c r="F3" i="10"/>
  <c r="P8" i="20"/>
  <c r="U8" i="20"/>
  <c r="M11" i="11"/>
  <c r="F11" i="11"/>
  <c r="E11" i="11"/>
  <c r="G150" i="9"/>
  <c r="Q14" i="20"/>
  <c r="F150" i="9"/>
  <c r="P14" i="20"/>
  <c r="R14" i="20"/>
  <c r="U14" i="20"/>
  <c r="K14" i="11"/>
  <c r="G14" i="11"/>
  <c r="G43" i="11"/>
  <c r="M14" i="11"/>
  <c r="I14" i="11"/>
  <c r="G129" i="9"/>
  <c r="D10" i="11"/>
  <c r="D8" i="11"/>
  <c r="I23" i="11"/>
  <c r="M36" i="11"/>
  <c r="M9" i="11"/>
  <c r="M12" i="11"/>
  <c r="M23" i="11"/>
  <c r="G23" i="11"/>
  <c r="T10" i="20"/>
  <c r="S10" i="20"/>
  <c r="R10" i="20"/>
  <c r="S11" i="20"/>
  <c r="R11" i="20"/>
  <c r="G57" i="9"/>
  <c r="M38" i="11"/>
  <c r="I9" i="11"/>
  <c r="I38" i="11"/>
  <c r="G9" i="11"/>
  <c r="T6" i="20"/>
  <c r="S6" i="20"/>
  <c r="G4" i="9"/>
  <c r="Q7" i="20"/>
  <c r="F4" i="9"/>
  <c r="P7" i="20"/>
  <c r="R7" i="20"/>
  <c r="U7" i="20"/>
  <c r="S7" i="20"/>
  <c r="E3" i="18"/>
  <c r="E4" i="17"/>
  <c r="H11" i="6"/>
  <c r="G25" i="11"/>
  <c r="H7" i="6"/>
  <c r="G27" i="11"/>
  <c r="B7" i="6"/>
  <c r="M27" i="11"/>
  <c r="B12" i="6"/>
  <c r="J27" i="11"/>
  <c r="B10" i="6"/>
  <c r="I27" i="11"/>
  <c r="B9" i="6"/>
  <c r="F27" i="11"/>
  <c r="B6" i="6"/>
  <c r="D27" i="11"/>
  <c r="B4" i="6"/>
  <c r="E27" i="11"/>
  <c r="B5" i="6"/>
  <c r="E23" i="11"/>
  <c r="E25" i="11"/>
  <c r="M25" i="11"/>
  <c r="H13" i="6"/>
  <c r="H12" i="6"/>
  <c r="J23" i="11"/>
  <c r="E10" i="6"/>
  <c r="I25" i="11"/>
  <c r="F25" i="11"/>
  <c r="D25" i="11"/>
  <c r="E8" i="6"/>
  <c r="F23" i="11"/>
  <c r="D23" i="11"/>
  <c r="L14" i="11"/>
  <c r="L43" i="11"/>
  <c r="J14" i="11"/>
  <c r="J43" i="11"/>
  <c r="H14" i="11"/>
  <c r="H43" i="11"/>
  <c r="F14" i="11"/>
  <c r="M41" i="11"/>
  <c r="J41" i="11"/>
  <c r="I41" i="11"/>
  <c r="G12" i="11"/>
  <c r="G41" i="11"/>
  <c r="E12" i="11"/>
  <c r="E41" i="11"/>
  <c r="F41" i="11"/>
  <c r="I11" i="11"/>
  <c r="I40" i="11"/>
  <c r="G11" i="11"/>
  <c r="G40" i="11"/>
  <c r="F9" i="11"/>
  <c r="F38" i="11"/>
  <c r="Y136" i="3"/>
  <c r="V136" i="3"/>
  <c r="S136" i="3"/>
  <c r="P136" i="3"/>
  <c r="D136" i="3"/>
  <c r="K13" i="4"/>
  <c r="Y135" i="3"/>
  <c r="V135" i="3"/>
  <c r="S135" i="3"/>
  <c r="P135" i="3"/>
  <c r="Y134" i="3"/>
  <c r="V134" i="3"/>
  <c r="P134" i="3"/>
  <c r="S134" i="3"/>
  <c r="Y133" i="3"/>
  <c r="V133" i="3"/>
  <c r="S133" i="3"/>
  <c r="P133" i="3"/>
  <c r="D133" i="3"/>
  <c r="K10" i="4"/>
  <c r="Y132" i="3"/>
  <c r="V132" i="3"/>
  <c r="S132" i="3"/>
  <c r="P132" i="3"/>
  <c r="Y131" i="3"/>
  <c r="V131" i="3"/>
  <c r="S131" i="3"/>
  <c r="P131" i="3"/>
  <c r="Y130" i="3"/>
  <c r="V130" i="3"/>
  <c r="P130" i="3"/>
  <c r="S130" i="3"/>
  <c r="Y129" i="3"/>
  <c r="V129" i="3"/>
  <c r="S129" i="3"/>
  <c r="P129" i="3"/>
  <c r="D129" i="3"/>
  <c r="K6" i="4"/>
  <c r="Y128" i="3"/>
  <c r="V128" i="3"/>
  <c r="S128" i="3"/>
  <c r="P128" i="3"/>
  <c r="D128" i="3"/>
  <c r="K5" i="4"/>
  <c r="Y127" i="3"/>
  <c r="V127" i="3"/>
  <c r="P127" i="3"/>
  <c r="S127" i="3"/>
  <c r="Z126" i="3"/>
  <c r="Y126" i="3"/>
  <c r="AA126" i="3"/>
  <c r="W126" i="3"/>
  <c r="V126" i="3"/>
  <c r="T126" i="3"/>
  <c r="S126" i="3"/>
  <c r="U126" i="3"/>
  <c r="Q126" i="3"/>
  <c r="P126" i="3"/>
  <c r="R126" i="3"/>
  <c r="Z125" i="3"/>
  <c r="Y125" i="3"/>
  <c r="AA125" i="3"/>
  <c r="W125" i="3"/>
  <c r="V125" i="3"/>
  <c r="X125" i="3"/>
  <c r="Q125" i="3"/>
  <c r="P125" i="3"/>
  <c r="R125" i="3"/>
  <c r="T125" i="3"/>
  <c r="S125" i="3"/>
  <c r="U125" i="3"/>
  <c r="F125" i="3"/>
  <c r="Z124" i="3"/>
  <c r="Y124" i="3"/>
  <c r="AA124" i="3"/>
  <c r="W124" i="3"/>
  <c r="Q124" i="3"/>
  <c r="T124" i="3"/>
  <c r="E124" i="3"/>
  <c r="C11" i="4"/>
  <c r="R11" i="4"/>
  <c r="V124" i="3"/>
  <c r="S124" i="3"/>
  <c r="P124" i="3"/>
  <c r="Z123" i="3"/>
  <c r="Y123" i="3"/>
  <c r="AA123" i="3"/>
  <c r="W123" i="3"/>
  <c r="V123" i="3"/>
  <c r="X123" i="3"/>
  <c r="T123" i="3"/>
  <c r="S123" i="3"/>
  <c r="P123" i="3"/>
  <c r="D123" i="3"/>
  <c r="B10" i="4"/>
  <c r="Q123" i="3"/>
  <c r="Z122" i="3"/>
  <c r="Y122" i="3"/>
  <c r="AA122" i="3"/>
  <c r="W122" i="3"/>
  <c r="V122" i="3"/>
  <c r="X122" i="3"/>
  <c r="Q122" i="3"/>
  <c r="P122" i="3"/>
  <c r="R122" i="3"/>
  <c r="T122" i="3"/>
  <c r="S122" i="3"/>
  <c r="U122" i="3"/>
  <c r="F122" i="3"/>
  <c r="Z121" i="3"/>
  <c r="Y121" i="3"/>
  <c r="AA121" i="3"/>
  <c r="W121" i="3"/>
  <c r="V121" i="3"/>
  <c r="X121" i="3"/>
  <c r="P121" i="3"/>
  <c r="S121" i="3"/>
  <c r="D121" i="3"/>
  <c r="B8" i="4"/>
  <c r="Q8" i="4"/>
  <c r="T121" i="3"/>
  <c r="U121" i="3"/>
  <c r="Q121" i="3"/>
  <c r="Z120" i="3"/>
  <c r="Y120" i="3"/>
  <c r="W120" i="3"/>
  <c r="V120" i="3"/>
  <c r="P120" i="3"/>
  <c r="S120" i="3"/>
  <c r="D120" i="3"/>
  <c r="B7" i="4"/>
  <c r="Q7" i="4"/>
  <c r="T120" i="3"/>
  <c r="U120" i="3"/>
  <c r="Q120" i="3"/>
  <c r="R120" i="3"/>
  <c r="Z119" i="3"/>
  <c r="Y119" i="3"/>
  <c r="AA119" i="3"/>
  <c r="W119" i="3"/>
  <c r="V119" i="3"/>
  <c r="T119" i="3"/>
  <c r="S119" i="3"/>
  <c r="Q119" i="3"/>
  <c r="P119" i="3"/>
  <c r="R119" i="3"/>
  <c r="Z118" i="3"/>
  <c r="Y118" i="3"/>
  <c r="AA118" i="3"/>
  <c r="W118" i="3"/>
  <c r="V118" i="3"/>
  <c r="T118" i="3"/>
  <c r="Q118" i="3"/>
  <c r="E118" i="3"/>
  <c r="C5" i="4"/>
  <c r="S118" i="3"/>
  <c r="P118" i="3"/>
  <c r="D118" i="3"/>
  <c r="B5" i="4"/>
  <c r="Z117" i="3"/>
  <c r="Y117" i="3"/>
  <c r="AA117" i="3"/>
  <c r="P117" i="3"/>
  <c r="S117" i="3"/>
  <c r="V117" i="3"/>
  <c r="W117" i="3"/>
  <c r="T117" i="3"/>
  <c r="Q117" i="3"/>
  <c r="Z116" i="3"/>
  <c r="W116" i="3"/>
  <c r="T116" i="3"/>
  <c r="Q116" i="3"/>
  <c r="P116" i="3"/>
  <c r="Z115" i="3"/>
  <c r="Q115" i="3"/>
  <c r="T115" i="3"/>
  <c r="W115" i="3"/>
  <c r="V115" i="3"/>
  <c r="X115" i="3"/>
  <c r="E115" i="3"/>
  <c r="R12" i="6"/>
  <c r="S115" i="3"/>
  <c r="Z114" i="3"/>
  <c r="W114" i="3"/>
  <c r="Q114" i="3"/>
  <c r="T114" i="3"/>
  <c r="E114" i="3"/>
  <c r="S114" i="3"/>
  <c r="U114" i="3"/>
  <c r="Z113" i="3"/>
  <c r="W113" i="3"/>
  <c r="T113" i="3"/>
  <c r="S113" i="3"/>
  <c r="Q113" i="3"/>
  <c r="Z112" i="3"/>
  <c r="W112" i="3"/>
  <c r="T112" i="3"/>
  <c r="Q112" i="3"/>
  <c r="Z111" i="3"/>
  <c r="W111" i="3"/>
  <c r="T111" i="3"/>
  <c r="Q111" i="3"/>
  <c r="Z110" i="3"/>
  <c r="W110" i="3"/>
  <c r="T110" i="3"/>
  <c r="S110" i="3"/>
  <c r="P110" i="3"/>
  <c r="V110" i="3"/>
  <c r="Y110" i="3"/>
  <c r="D110" i="3"/>
  <c r="Q110" i="3"/>
  <c r="Z109" i="3"/>
  <c r="W109" i="3"/>
  <c r="T109" i="3"/>
  <c r="S109" i="3"/>
  <c r="U109" i="3"/>
  <c r="Q109" i="3"/>
  <c r="D106" i="3"/>
  <c r="D105" i="3"/>
  <c r="D104" i="3"/>
  <c r="D103" i="3"/>
  <c r="D102" i="3"/>
  <c r="D101" i="3"/>
  <c r="D100" i="3"/>
  <c r="D99" i="3"/>
  <c r="D98" i="3"/>
  <c r="D97" i="3"/>
  <c r="Z96" i="3"/>
  <c r="D118" i="14"/>
  <c r="Y96" i="3"/>
  <c r="AA96" i="3"/>
  <c r="W96" i="3"/>
  <c r="T96" i="3"/>
  <c r="Q96" i="3"/>
  <c r="E96" i="3"/>
  <c r="V96" i="3"/>
  <c r="S96" i="3"/>
  <c r="P96" i="3"/>
  <c r="Z95" i="3"/>
  <c r="Y95" i="3"/>
  <c r="W95" i="3"/>
  <c r="D82" i="14"/>
  <c r="V95" i="3"/>
  <c r="S95" i="3"/>
  <c r="P95" i="3"/>
  <c r="D95" i="3"/>
  <c r="T95" i="3"/>
  <c r="U95" i="3"/>
  <c r="Q95" i="3"/>
  <c r="R95" i="3"/>
  <c r="Z94" i="3"/>
  <c r="D116" i="14"/>
  <c r="Y94" i="3"/>
  <c r="W94" i="3"/>
  <c r="D81" i="14"/>
  <c r="V94" i="3"/>
  <c r="T94" i="3"/>
  <c r="Q94" i="3"/>
  <c r="S94" i="3"/>
  <c r="P94" i="3"/>
  <c r="Z93" i="3"/>
  <c r="Y93" i="3"/>
  <c r="W93" i="3"/>
  <c r="V93" i="3"/>
  <c r="X93" i="3"/>
  <c r="T93" i="3"/>
  <c r="S93" i="3"/>
  <c r="U93" i="3"/>
  <c r="Q93" i="3"/>
  <c r="P93" i="3"/>
  <c r="Z92" i="3"/>
  <c r="Y92" i="3"/>
  <c r="W92" i="3"/>
  <c r="V92" i="3"/>
  <c r="S92" i="3"/>
  <c r="P92" i="3"/>
  <c r="D92" i="3"/>
  <c r="T92" i="3"/>
  <c r="D44" i="14"/>
  <c r="Q92" i="3"/>
  <c r="R92" i="3"/>
  <c r="Z91" i="3"/>
  <c r="D113" i="14"/>
  <c r="Y91" i="3"/>
  <c r="W91" i="3"/>
  <c r="D78" i="14"/>
  <c r="V91" i="3"/>
  <c r="T91" i="3"/>
  <c r="S91" i="3"/>
  <c r="Q91" i="3"/>
  <c r="P91" i="3"/>
  <c r="Z90" i="3"/>
  <c r="Y90" i="3"/>
  <c r="W90" i="3"/>
  <c r="D77" i="14"/>
  <c r="V90" i="3"/>
  <c r="X90" i="3"/>
  <c r="T90" i="3"/>
  <c r="S90" i="3"/>
  <c r="Q90" i="3"/>
  <c r="P90" i="3"/>
  <c r="Z89" i="3"/>
  <c r="Y89" i="3"/>
  <c r="AA89" i="3"/>
  <c r="W89" i="3"/>
  <c r="V89" i="3"/>
  <c r="X89" i="3"/>
  <c r="T89" i="3"/>
  <c r="S89" i="3"/>
  <c r="Q89" i="3"/>
  <c r="D6" i="14"/>
  <c r="P89" i="3"/>
  <c r="Z88" i="3"/>
  <c r="D110" i="14"/>
  <c r="Y88" i="3"/>
  <c r="W88" i="3"/>
  <c r="V88" i="3"/>
  <c r="X88" i="3"/>
  <c r="T88" i="3"/>
  <c r="D40" i="14"/>
  <c r="S88" i="3"/>
  <c r="P88" i="3"/>
  <c r="D88" i="3"/>
  <c r="Q88" i="3"/>
  <c r="Z87" i="3"/>
  <c r="D109" i="14"/>
  <c r="Y87" i="3"/>
  <c r="W87" i="3"/>
  <c r="D74" i="14"/>
  <c r="V87" i="3"/>
  <c r="S87" i="3"/>
  <c r="P87" i="3"/>
  <c r="D87" i="3"/>
  <c r="T87" i="3"/>
  <c r="D39" i="14"/>
  <c r="Q87" i="3"/>
  <c r="Y86" i="3"/>
  <c r="V86" i="3"/>
  <c r="P86" i="3"/>
  <c r="S86" i="3"/>
  <c r="Y85" i="3"/>
  <c r="V85" i="3"/>
  <c r="S85" i="3"/>
  <c r="P85" i="3"/>
  <c r="D85" i="3"/>
  <c r="N12" i="4"/>
  <c r="D135" i="3"/>
  <c r="K12" i="4"/>
  <c r="T12" i="4"/>
  <c r="Y84" i="3"/>
  <c r="V84" i="3"/>
  <c r="S84" i="3"/>
  <c r="P84" i="3"/>
  <c r="Y83" i="3"/>
  <c r="V83" i="3"/>
  <c r="S83" i="3"/>
  <c r="P83" i="3"/>
  <c r="D83" i="3"/>
  <c r="N10" i="4"/>
  <c r="T10" i="4"/>
  <c r="Y82" i="3"/>
  <c r="V82" i="3"/>
  <c r="P82" i="3"/>
  <c r="S82" i="3"/>
  <c r="Y81" i="3"/>
  <c r="V81" i="3"/>
  <c r="P81" i="3"/>
  <c r="S81" i="3"/>
  <c r="Y80" i="3"/>
  <c r="V80" i="3"/>
  <c r="S80" i="3"/>
  <c r="P80" i="3"/>
  <c r="D80" i="3"/>
  <c r="N7" i="4"/>
  <c r="D130" i="3"/>
  <c r="K7" i="4"/>
  <c r="T7" i="4"/>
  <c r="Y79" i="3"/>
  <c r="V79" i="3"/>
  <c r="S79" i="3"/>
  <c r="P79" i="3"/>
  <c r="D79" i="3"/>
  <c r="N6" i="4"/>
  <c r="T6" i="4"/>
  <c r="Y78" i="3"/>
  <c r="V78" i="3"/>
  <c r="P78" i="3"/>
  <c r="S78" i="3"/>
  <c r="Y77" i="3"/>
  <c r="V77" i="3"/>
  <c r="S77" i="3"/>
  <c r="D77" i="3"/>
  <c r="N4" i="4"/>
  <c r="D127" i="3"/>
  <c r="K4" i="4"/>
  <c r="T4" i="4"/>
  <c r="Y76" i="3"/>
  <c r="V76" i="3"/>
  <c r="P76" i="3"/>
  <c r="S76" i="3"/>
  <c r="D76" i="3"/>
  <c r="Y75" i="3"/>
  <c r="V75" i="3"/>
  <c r="S75" i="3"/>
  <c r="P75" i="3"/>
  <c r="Y74" i="3"/>
  <c r="V74" i="3"/>
  <c r="P74" i="3"/>
  <c r="S74" i="3"/>
  <c r="D74" i="3"/>
  <c r="Y73" i="3"/>
  <c r="V73" i="3"/>
  <c r="S73" i="3"/>
  <c r="P73" i="3"/>
  <c r="Y72" i="3"/>
  <c r="V72" i="3"/>
  <c r="S72" i="3"/>
  <c r="P72" i="3"/>
  <c r="Y71" i="3"/>
  <c r="V71" i="3"/>
  <c r="S71" i="3"/>
  <c r="P71" i="3"/>
  <c r="Y70" i="3"/>
  <c r="V70" i="3"/>
  <c r="P70" i="3"/>
  <c r="S70" i="3"/>
  <c r="Y69" i="3"/>
  <c r="P69" i="3"/>
  <c r="S69" i="3"/>
  <c r="D69" i="3"/>
  <c r="Y68" i="3"/>
  <c r="V68" i="3"/>
  <c r="S68" i="3"/>
  <c r="P68" i="3"/>
  <c r="D68" i="3"/>
  <c r="Y67" i="3"/>
  <c r="V67" i="3"/>
  <c r="P67" i="3"/>
  <c r="S67" i="3"/>
  <c r="X65" i="3"/>
  <c r="U65" i="3"/>
  <c r="R65" i="3"/>
  <c r="E65" i="3"/>
  <c r="D65" i="3"/>
  <c r="X64" i="3"/>
  <c r="R64" i="3"/>
  <c r="U64" i="3"/>
  <c r="E64" i="3"/>
  <c r="D64" i="3"/>
  <c r="X63" i="3"/>
  <c r="U63" i="3"/>
  <c r="R63" i="3"/>
  <c r="E63" i="3"/>
  <c r="D63" i="3"/>
  <c r="X62" i="3"/>
  <c r="U62" i="3"/>
  <c r="R62" i="3"/>
  <c r="E62" i="3"/>
  <c r="D62" i="3"/>
  <c r="X61" i="3"/>
  <c r="U61" i="3"/>
  <c r="R61" i="3"/>
  <c r="E61" i="3"/>
  <c r="D61" i="3"/>
  <c r="X60" i="3"/>
  <c r="R60" i="3"/>
  <c r="U60" i="3"/>
  <c r="E60" i="3"/>
  <c r="D60" i="3"/>
  <c r="X59" i="3"/>
  <c r="U59" i="3"/>
  <c r="R59" i="3"/>
  <c r="E59" i="3"/>
  <c r="D59" i="3"/>
  <c r="X58" i="3"/>
  <c r="U58" i="3"/>
  <c r="R58" i="3"/>
  <c r="E58" i="3"/>
  <c r="D58" i="3"/>
  <c r="X57" i="3"/>
  <c r="U57" i="3"/>
  <c r="R57" i="3"/>
  <c r="F57" i="3"/>
  <c r="E57" i="3"/>
  <c r="D57" i="3"/>
  <c r="X56" i="3"/>
  <c r="R56" i="3"/>
  <c r="U56" i="3"/>
  <c r="E56" i="3"/>
  <c r="D56" i="3"/>
  <c r="X55" i="3"/>
  <c r="U55" i="3"/>
  <c r="R55" i="3"/>
  <c r="E55" i="3"/>
  <c r="D55" i="3"/>
  <c r="X54" i="3"/>
  <c r="U54" i="3"/>
  <c r="R54" i="3"/>
  <c r="E54" i="3"/>
  <c r="D54" i="3"/>
  <c r="X53" i="3"/>
  <c r="U53" i="3"/>
  <c r="R53" i="3"/>
  <c r="D53" i="3"/>
  <c r="E53" i="3"/>
  <c r="X52" i="3"/>
  <c r="U52" i="3"/>
  <c r="R52" i="3"/>
  <c r="E52" i="3"/>
  <c r="D52" i="3"/>
  <c r="X51" i="3"/>
  <c r="U51" i="3"/>
  <c r="R51" i="3"/>
  <c r="E51" i="3"/>
  <c r="D51" i="3"/>
  <c r="F51" i="3"/>
  <c r="X50" i="3"/>
  <c r="U50" i="3"/>
  <c r="R50" i="3"/>
  <c r="E50" i="3"/>
  <c r="D50" i="3"/>
  <c r="X49" i="3"/>
  <c r="U49" i="3"/>
  <c r="R49" i="3"/>
  <c r="D49" i="3"/>
  <c r="E49" i="3"/>
  <c r="X48" i="3"/>
  <c r="U48" i="3"/>
  <c r="R48" i="3"/>
  <c r="E48" i="3"/>
  <c r="D48" i="3"/>
  <c r="X47" i="3"/>
  <c r="U47" i="3"/>
  <c r="R47" i="3"/>
  <c r="E47" i="3"/>
  <c r="D47" i="3"/>
  <c r="F47" i="3"/>
  <c r="X46" i="3"/>
  <c r="U46" i="3"/>
  <c r="R46" i="3"/>
  <c r="E46" i="3"/>
  <c r="D46" i="3"/>
  <c r="X45" i="3"/>
  <c r="U45" i="3"/>
  <c r="R45" i="3"/>
  <c r="X44" i="3"/>
  <c r="U44" i="3"/>
  <c r="R44" i="3"/>
  <c r="X43" i="3"/>
  <c r="U43" i="3"/>
  <c r="R43" i="3"/>
  <c r="X42" i="3"/>
  <c r="U42" i="3"/>
  <c r="R42" i="3"/>
  <c r="X41" i="3"/>
  <c r="U41" i="3"/>
  <c r="R41" i="3"/>
  <c r="X40" i="3"/>
  <c r="U40" i="3"/>
  <c r="R40" i="3"/>
  <c r="X39" i="3"/>
  <c r="U39" i="3"/>
  <c r="R39" i="3"/>
  <c r="X38" i="3"/>
  <c r="U38" i="3"/>
  <c r="R38" i="3"/>
  <c r="X37" i="3"/>
  <c r="U37" i="3"/>
  <c r="R37" i="3"/>
  <c r="X36" i="3"/>
  <c r="U36" i="3"/>
  <c r="R36" i="3"/>
  <c r="X35" i="3"/>
  <c r="U35" i="3"/>
  <c r="R35" i="3"/>
  <c r="X34" i="3"/>
  <c r="U34" i="3"/>
  <c r="R34" i="3"/>
  <c r="X33" i="3"/>
  <c r="U33" i="3"/>
  <c r="R33" i="3"/>
  <c r="X32" i="3"/>
  <c r="U32" i="3"/>
  <c r="R32" i="3"/>
  <c r="X31" i="3"/>
  <c r="U31" i="3"/>
  <c r="R31" i="3"/>
  <c r="X30" i="3"/>
  <c r="U30" i="3"/>
  <c r="R30" i="3"/>
  <c r="X29" i="3"/>
  <c r="U29" i="3"/>
  <c r="R29" i="3"/>
  <c r="X28" i="3"/>
  <c r="U28" i="3"/>
  <c r="R28" i="3"/>
  <c r="X27" i="3"/>
  <c r="U27" i="3"/>
  <c r="R27" i="3"/>
  <c r="X26" i="3"/>
  <c r="U26" i="3"/>
  <c r="R26" i="3"/>
  <c r="Y116" i="3"/>
  <c r="AA116" i="3"/>
  <c r="S116" i="3"/>
  <c r="R25" i="3"/>
  <c r="X24" i="3"/>
  <c r="R24" i="3"/>
  <c r="P115" i="3"/>
  <c r="Y114" i="3"/>
  <c r="AA114" i="3"/>
  <c r="U23" i="3"/>
  <c r="R23" i="3"/>
  <c r="P114" i="3"/>
  <c r="V113" i="3"/>
  <c r="P113" i="3"/>
  <c r="Y113" i="3"/>
  <c r="D113" i="3"/>
  <c r="Q10" i="6"/>
  <c r="X22" i="3"/>
  <c r="R22" i="3"/>
  <c r="X21" i="3"/>
  <c r="V112" i="3"/>
  <c r="X112" i="3"/>
  <c r="S112" i="3"/>
  <c r="U112" i="3"/>
  <c r="Y111" i="3"/>
  <c r="AA111" i="3"/>
  <c r="X20" i="3"/>
  <c r="V111" i="3"/>
  <c r="X111" i="3"/>
  <c r="U20" i="3"/>
  <c r="AA110" i="3"/>
  <c r="X19" i="3"/>
  <c r="X110" i="3"/>
  <c r="U19" i="3"/>
  <c r="R19" i="3"/>
  <c r="V109" i="3"/>
  <c r="X109" i="3"/>
  <c r="X18" i="3"/>
  <c r="P109" i="3"/>
  <c r="R109" i="3"/>
  <c r="R18" i="3"/>
  <c r="Y108" i="3"/>
  <c r="T108" i="3"/>
  <c r="S108" i="3"/>
  <c r="U108" i="3"/>
  <c r="U17" i="3"/>
  <c r="R16" i="3"/>
  <c r="Q107" i="3"/>
  <c r="P107" i="3"/>
  <c r="X15" i="3"/>
  <c r="U15" i="3"/>
  <c r="R15" i="3"/>
  <c r="X14" i="3"/>
  <c r="U14" i="3"/>
  <c r="R14" i="3"/>
  <c r="X13" i="3"/>
  <c r="U13" i="3"/>
  <c r="R13" i="3"/>
  <c r="X12" i="3"/>
  <c r="U12" i="3"/>
  <c r="R12" i="3"/>
  <c r="X11" i="3"/>
  <c r="U11" i="3"/>
  <c r="R11" i="3"/>
  <c r="X10" i="3"/>
  <c r="U10" i="3"/>
  <c r="R10" i="3"/>
  <c r="X9" i="3"/>
  <c r="U9" i="3"/>
  <c r="R9" i="3"/>
  <c r="X8" i="3"/>
  <c r="U8" i="3"/>
  <c r="R8" i="3"/>
  <c r="X7" i="3"/>
  <c r="U7" i="3"/>
  <c r="R7" i="3"/>
  <c r="X6" i="3"/>
  <c r="U6" i="3"/>
  <c r="R6" i="3"/>
  <c r="N14" i="6"/>
  <c r="K14" i="6"/>
  <c r="O12" i="6"/>
  <c r="P12" i="6"/>
  <c r="L12" i="6"/>
  <c r="M12" i="6"/>
  <c r="L11" i="6"/>
  <c r="M11" i="6"/>
  <c r="B11" i="6"/>
  <c r="O10" i="6"/>
  <c r="P10" i="6"/>
  <c r="L9" i="6"/>
  <c r="M9" i="6"/>
  <c r="H9" i="6"/>
  <c r="O8" i="6"/>
  <c r="P8" i="6"/>
  <c r="H8" i="6"/>
  <c r="L7" i="6"/>
  <c r="M7" i="6"/>
  <c r="E12" i="6"/>
  <c r="H5" i="6"/>
  <c r="H4" i="6"/>
  <c r="H14" i="4"/>
  <c r="F14" i="4"/>
  <c r="E14" i="4"/>
  <c r="G13" i="4"/>
  <c r="G12" i="4"/>
  <c r="G11" i="4"/>
  <c r="G10" i="4"/>
  <c r="G9" i="4"/>
  <c r="G8" i="4"/>
  <c r="G7" i="4"/>
  <c r="G6" i="4"/>
  <c r="G5" i="4"/>
  <c r="G4" i="4"/>
  <c r="T14" i="20"/>
  <c r="S14" i="20"/>
  <c r="H14" i="20"/>
  <c r="G14" i="20"/>
  <c r="F14" i="20"/>
  <c r="D14" i="20"/>
  <c r="E14" i="20"/>
  <c r="I14" i="20"/>
  <c r="T13" i="20"/>
  <c r="S13" i="20"/>
  <c r="R13" i="20"/>
  <c r="Q13" i="20"/>
  <c r="H13" i="20"/>
  <c r="G13" i="20"/>
  <c r="F13" i="20"/>
  <c r="E13" i="20"/>
  <c r="G12" i="20"/>
  <c r="E12" i="20"/>
  <c r="E11" i="20"/>
  <c r="D12" i="20"/>
  <c r="H11" i="20"/>
  <c r="G11" i="20"/>
  <c r="F11" i="20"/>
  <c r="D11" i="20"/>
  <c r="H10" i="20"/>
  <c r="G10" i="20"/>
  <c r="G9" i="20"/>
  <c r="G6" i="20"/>
  <c r="G5" i="20"/>
  <c r="Z107" i="3"/>
  <c r="Y107" i="3"/>
  <c r="AA107" i="3"/>
  <c r="Z108" i="3"/>
  <c r="AA108" i="3"/>
  <c r="Y109" i="3"/>
  <c r="AA109" i="3"/>
  <c r="Y112" i="3"/>
  <c r="AA112" i="3"/>
  <c r="AA113" i="3"/>
  <c r="Y115" i="3"/>
  <c r="AA115" i="3"/>
  <c r="G4" i="20"/>
  <c r="G3" i="20"/>
  <c r="F10" i="20"/>
  <c r="H9" i="20"/>
  <c r="G8" i="20"/>
  <c r="F8" i="20"/>
  <c r="F6" i="20"/>
  <c r="F5" i="20"/>
  <c r="W107" i="3"/>
  <c r="V107" i="3"/>
  <c r="X107" i="3"/>
  <c r="W108" i="3"/>
  <c r="V108" i="3"/>
  <c r="X108" i="3"/>
  <c r="X113" i="3"/>
  <c r="V114" i="3"/>
  <c r="X114" i="3"/>
  <c r="V116" i="3"/>
  <c r="X116" i="3"/>
  <c r="F4" i="20"/>
  <c r="F9" i="20"/>
  <c r="F3" i="20"/>
  <c r="F7" i="20"/>
  <c r="E8" i="20"/>
  <c r="D8" i="20"/>
  <c r="D7" i="20"/>
  <c r="H7" i="20"/>
  <c r="H6" i="20"/>
  <c r="H5" i="20"/>
  <c r="H3" i="20"/>
  <c r="G7" i="20"/>
  <c r="E7" i="20"/>
  <c r="S5" i="20"/>
  <c r="S4" i="20"/>
  <c r="S9" i="20"/>
  <c r="S3" i="20"/>
  <c r="G2" i="20"/>
  <c r="S2" i="20"/>
  <c r="F2" i="20"/>
  <c r="R2" i="20"/>
  <c r="E2" i="20"/>
  <c r="Q2" i="20"/>
  <c r="D2" i="20"/>
  <c r="P2" i="20"/>
  <c r="U18" i="3"/>
  <c r="R114" i="3"/>
  <c r="S111" i="3"/>
  <c r="U111" i="3"/>
  <c r="E116" i="3"/>
  <c r="R13" i="6"/>
  <c r="R124" i="3"/>
  <c r="D8" i="14"/>
  <c r="D12" i="14"/>
  <c r="U21" i="3"/>
  <c r="U22" i="3"/>
  <c r="U24" i="3"/>
  <c r="U25" i="3"/>
  <c r="X94" i="3"/>
  <c r="R123" i="3"/>
  <c r="D10" i="14"/>
  <c r="AA88" i="3"/>
  <c r="D126" i="3"/>
  <c r="B13" i="4"/>
  <c r="Q13" i="4"/>
  <c r="D45" i="14"/>
  <c r="F36" i="11"/>
  <c r="AI6" i="26"/>
  <c r="D7" i="14"/>
  <c r="D117" i="14"/>
  <c r="T7" i="20"/>
  <c r="T5" i="20"/>
  <c r="D115" i="14"/>
  <c r="D76" i="14"/>
  <c r="D9" i="14"/>
  <c r="D111" i="14"/>
  <c r="X16" i="3"/>
  <c r="X17" i="3"/>
  <c r="E10" i="11"/>
  <c r="E39" i="11"/>
  <c r="R9" i="20"/>
  <c r="R6" i="20"/>
  <c r="R5" i="20"/>
  <c r="R4" i="20"/>
  <c r="R3" i="20"/>
  <c r="E13" i="11"/>
  <c r="AA94" i="3"/>
  <c r="AA87" i="3"/>
  <c r="AA91" i="3"/>
  <c r="AA95" i="3"/>
  <c r="F55" i="3"/>
  <c r="F65" i="3"/>
  <c r="D71" i="3"/>
  <c r="D72" i="3"/>
  <c r="D75" i="14"/>
  <c r="F48" i="3"/>
  <c r="X118" i="3"/>
  <c r="F54" i="3"/>
  <c r="X124" i="3"/>
  <c r="U124" i="3"/>
  <c r="F124" i="3"/>
  <c r="F46" i="3"/>
  <c r="F61" i="3"/>
  <c r="F63" i="3"/>
  <c r="F64" i="3"/>
  <c r="D70" i="3"/>
  <c r="D134" i="3"/>
  <c r="K11" i="4"/>
  <c r="D42" i="14"/>
  <c r="D47" i="14"/>
  <c r="D94" i="3"/>
  <c r="D131" i="3"/>
  <c r="K8" i="4"/>
  <c r="F50" i="3"/>
  <c r="F52" i="3"/>
  <c r="F58" i="3"/>
  <c r="F62" i="3"/>
  <c r="E113" i="3"/>
  <c r="R10" i="6"/>
  <c r="R90" i="3"/>
  <c r="E125" i="3"/>
  <c r="C12" i="4"/>
  <c r="R12" i="4"/>
  <c r="D5" i="14"/>
  <c r="R88" i="3"/>
  <c r="R118" i="3"/>
  <c r="F49" i="3"/>
  <c r="R96" i="3"/>
  <c r="D11" i="14"/>
  <c r="D13" i="14"/>
  <c r="R89" i="3"/>
  <c r="F56" i="3"/>
  <c r="D73" i="3"/>
  <c r="R93" i="3"/>
  <c r="D124" i="3"/>
  <c r="B11" i="4"/>
  <c r="R113" i="3"/>
  <c r="F53" i="3"/>
  <c r="F60" i="3"/>
  <c r="E110" i="3"/>
  <c r="R7" i="6"/>
  <c r="G36" i="11"/>
  <c r="R121" i="3"/>
  <c r="AI10" i="26"/>
  <c r="AI12" i="26"/>
  <c r="S107" i="3"/>
  <c r="P108" i="3"/>
  <c r="D108" i="3"/>
  <c r="Q5" i="6"/>
  <c r="R110" i="3"/>
  <c r="R20" i="3"/>
  <c r="P111" i="3"/>
  <c r="R21" i="3"/>
  <c r="P112" i="3"/>
  <c r="E111" i="3"/>
  <c r="R8" i="6"/>
  <c r="E112" i="3"/>
  <c r="R116" i="3"/>
  <c r="AA120" i="3"/>
  <c r="G14" i="4"/>
  <c r="U18" i="20"/>
  <c r="G15" i="4"/>
  <c r="I18" i="20"/>
  <c r="U16" i="3"/>
  <c r="T107" i="3"/>
  <c r="U107" i="3"/>
  <c r="D112" i="14"/>
  <c r="AA90" i="3"/>
  <c r="D114" i="14"/>
  <c r="AA92" i="3"/>
  <c r="F43" i="11"/>
  <c r="O6" i="6"/>
  <c r="P6" i="6"/>
  <c r="B8" i="6"/>
  <c r="B13" i="6"/>
  <c r="Q11" i="20"/>
  <c r="T11" i="20"/>
  <c r="T9" i="20"/>
  <c r="D114" i="3"/>
  <c r="Q11" i="6"/>
  <c r="X23" i="3"/>
  <c r="R115" i="3"/>
  <c r="X119" i="3"/>
  <c r="U123" i="3"/>
  <c r="E8" i="11"/>
  <c r="R91" i="3"/>
  <c r="X92" i="3"/>
  <c r="AA93" i="3"/>
  <c r="D83" i="14"/>
  <c r="U117" i="3"/>
  <c r="X120" i="3"/>
  <c r="AH12" i="26"/>
  <c r="X25" i="3"/>
  <c r="F59" i="3"/>
  <c r="D132" i="3"/>
  <c r="K9" i="4"/>
  <c r="D79" i="14"/>
  <c r="E117" i="3"/>
  <c r="C4" i="4"/>
  <c r="R4" i="4"/>
  <c r="E150" i="9"/>
  <c r="D11" i="11"/>
  <c r="D40" i="11"/>
  <c r="AG12" i="26"/>
  <c r="R17" i="3"/>
  <c r="Q108" i="3"/>
  <c r="E108" i="3"/>
  <c r="R112" i="3"/>
  <c r="R111" i="3"/>
  <c r="S22" i="20"/>
  <c r="L4" i="6"/>
  <c r="M4" i="6"/>
  <c r="R9" i="6"/>
  <c r="E107" i="3"/>
  <c r="R4" i="6"/>
  <c r="R108" i="3"/>
  <c r="R107" i="3"/>
  <c r="P4" i="20"/>
  <c r="R117" i="3"/>
  <c r="D17" i="20"/>
  <c r="D16" i="20"/>
  <c r="D4" i="20"/>
  <c r="R87" i="3"/>
  <c r="D4" i="14"/>
  <c r="D78" i="3"/>
  <c r="N5" i="4"/>
  <c r="D81" i="3"/>
  <c r="N8" i="4"/>
  <c r="T8" i="4"/>
  <c r="D82" i="3"/>
  <c r="N9" i="4"/>
  <c r="T9" i="4"/>
  <c r="D84" i="3"/>
  <c r="N11" i="4"/>
  <c r="T11" i="4"/>
  <c r="D86" i="3"/>
  <c r="N13" i="4"/>
  <c r="T13" i="4"/>
  <c r="X117" i="3"/>
  <c r="D107" i="3"/>
  <c r="F107" i="3"/>
  <c r="Q4" i="6"/>
  <c r="X87" i="3"/>
  <c r="D117" i="3"/>
  <c r="B4" i="4"/>
  <c r="Q4" i="4"/>
  <c r="S4" i="4"/>
  <c r="S17" i="20"/>
  <c r="S16" i="20"/>
  <c r="G17" i="20"/>
  <c r="G16" i="20"/>
  <c r="R5" i="6"/>
  <c r="F108" i="3"/>
  <c r="D109" i="3"/>
  <c r="Q6" i="6"/>
  <c r="D67" i="3"/>
  <c r="D91" i="3"/>
  <c r="R94" i="3"/>
  <c r="U113" i="3"/>
  <c r="U119" i="3"/>
  <c r="F119" i="3"/>
  <c r="E122" i="3"/>
  <c r="C9" i="4"/>
  <c r="I123" i="3"/>
  <c r="L91" i="3"/>
  <c r="L96" i="3"/>
  <c r="L114" i="3"/>
  <c r="O87" i="3"/>
  <c r="O117" i="3"/>
  <c r="F12" i="3"/>
  <c r="D112" i="3"/>
  <c r="F112" i="3"/>
  <c r="D93" i="3"/>
  <c r="U118" i="3"/>
  <c r="D122" i="3"/>
  <c r="B9" i="4"/>
  <c r="Q9" i="4"/>
  <c r="D125" i="3"/>
  <c r="B12" i="4"/>
  <c r="Q12" i="4"/>
  <c r="L92" i="3"/>
  <c r="P17" i="20"/>
  <c r="E87" i="3"/>
  <c r="E88" i="3"/>
  <c r="D119" i="3"/>
  <c r="B6" i="4"/>
  <c r="Q6" i="4"/>
  <c r="E123" i="3"/>
  <c r="C10" i="4"/>
  <c r="R10" i="4"/>
  <c r="F8" i="3"/>
  <c r="P16" i="20"/>
  <c r="Q9" i="6"/>
  <c r="U91" i="3"/>
  <c r="U116" i="3"/>
  <c r="D116" i="3"/>
  <c r="Q13" i="6"/>
  <c r="K14" i="4"/>
  <c r="S4" i="6"/>
  <c r="U87" i="3"/>
  <c r="F6" i="3"/>
  <c r="E119" i="3"/>
  <c r="C6" i="4"/>
  <c r="R6" i="4"/>
  <c r="S6" i="4"/>
  <c r="U90" i="3"/>
  <c r="F7" i="3"/>
  <c r="O108" i="3"/>
  <c r="F15" i="3"/>
  <c r="F11" i="3"/>
  <c r="F117" i="3"/>
  <c r="D4" i="4"/>
  <c r="F118" i="3"/>
  <c r="P22" i="20"/>
  <c r="F87" i="3"/>
  <c r="D89" i="3"/>
  <c r="D96" i="3"/>
  <c r="F114" i="3"/>
  <c r="R11" i="6"/>
  <c r="F123" i="3"/>
  <c r="F93" i="3"/>
  <c r="S12" i="4"/>
  <c r="D80" i="14"/>
  <c r="E91" i="3"/>
  <c r="E93" i="3"/>
  <c r="E90" i="3"/>
  <c r="X95" i="3"/>
  <c r="F95" i="3"/>
  <c r="D75" i="3"/>
  <c r="E89" i="3"/>
  <c r="X91" i="3"/>
  <c r="F91" i="3"/>
  <c r="E94" i="3"/>
  <c r="F90" i="3"/>
  <c r="S9" i="6"/>
  <c r="E95" i="3"/>
  <c r="F10" i="3"/>
  <c r="D90" i="3"/>
  <c r="D115" i="3"/>
  <c r="F120" i="3"/>
  <c r="F121" i="3"/>
  <c r="X96" i="3"/>
  <c r="X126" i="3"/>
  <c r="R17" i="20"/>
  <c r="R16" i="20"/>
  <c r="F17" i="20"/>
  <c r="F16" i="20"/>
  <c r="F126" i="3"/>
  <c r="F116" i="3"/>
  <c r="U94" i="3"/>
  <c r="F94" i="3"/>
  <c r="E92" i="3"/>
  <c r="D43" i="14"/>
  <c r="U92" i="3"/>
  <c r="F92" i="3"/>
  <c r="U89" i="3"/>
  <c r="F89" i="3"/>
  <c r="D46" i="14"/>
  <c r="U96" i="3"/>
  <c r="F96" i="3"/>
  <c r="U88" i="3"/>
  <c r="F88" i="3"/>
  <c r="D48" i="14"/>
  <c r="E126" i="3"/>
  <c r="C13" i="4"/>
  <c r="E17" i="20"/>
  <c r="S13" i="6"/>
  <c r="S11" i="6"/>
  <c r="Q12" i="6"/>
  <c r="F115" i="3"/>
  <c r="R9" i="4"/>
  <c r="S9" i="4"/>
  <c r="D9" i="4"/>
  <c r="E16" i="20"/>
  <c r="Q11" i="4"/>
  <c r="D11" i="4"/>
  <c r="S10" i="6"/>
  <c r="Q7" i="6"/>
  <c r="F110" i="3"/>
  <c r="S12" i="6"/>
  <c r="Q10" i="4"/>
  <c r="D10" i="4"/>
  <c r="S11" i="4"/>
  <c r="U115" i="3"/>
  <c r="U110" i="3"/>
  <c r="E4" i="20"/>
  <c r="E121" i="3"/>
  <c r="C8" i="4"/>
  <c r="E109" i="3"/>
  <c r="Q4" i="20"/>
  <c r="F9" i="3"/>
  <c r="Q17" i="20"/>
  <c r="F113" i="3"/>
  <c r="D111" i="3"/>
  <c r="Q8" i="6"/>
  <c r="F14" i="3"/>
  <c r="D6" i="4"/>
  <c r="E120" i="3"/>
  <c r="C7" i="4"/>
  <c r="C14" i="4"/>
  <c r="D41" i="14"/>
  <c r="F13" i="3"/>
  <c r="Q22" i="20"/>
  <c r="D12" i="4"/>
  <c r="R5" i="4"/>
  <c r="T5" i="4"/>
  <c r="N14" i="4"/>
  <c r="S5" i="6"/>
  <c r="D5" i="4"/>
  <c r="B14" i="4"/>
  <c r="Q5" i="4"/>
  <c r="I93" i="3"/>
  <c r="I116" i="3"/>
  <c r="I109" i="3"/>
  <c r="I112" i="3"/>
  <c r="I90" i="3"/>
  <c r="I113" i="3"/>
  <c r="I89" i="3"/>
  <c r="I95" i="3"/>
  <c r="I110" i="3"/>
  <c r="I120" i="3"/>
  <c r="R22" i="20"/>
  <c r="U22" i="20"/>
  <c r="I17" i="20"/>
  <c r="I16" i="20"/>
  <c r="R13" i="4"/>
  <c r="S13" i="4"/>
  <c r="D13" i="4"/>
  <c r="U4" i="20"/>
  <c r="I4" i="20"/>
  <c r="R7" i="4"/>
  <c r="S7" i="4"/>
  <c r="D7" i="4"/>
  <c r="F111" i="3"/>
  <c r="S8" i="6"/>
  <c r="S7" i="6"/>
  <c r="R6" i="6"/>
  <c r="F109" i="3"/>
  <c r="S10" i="4"/>
  <c r="Q14" i="6"/>
  <c r="U17" i="20"/>
  <c r="Q16" i="20"/>
  <c r="U16" i="20"/>
  <c r="R8" i="4"/>
  <c r="S8" i="4"/>
  <c r="D8" i="4"/>
  <c r="S5" i="4"/>
  <c r="Q14" i="4"/>
  <c r="T14" i="4"/>
  <c r="D14" i="4"/>
  <c r="D15" i="4"/>
  <c r="S6" i="6"/>
  <c r="R14" i="6"/>
  <c r="R14" i="4"/>
  <c r="S14" i="4"/>
  <c r="S15" i="4"/>
  <c r="S15" i="6"/>
  <c r="S14" i="6"/>
  <c r="D42" i="11"/>
  <c r="E42" i="11"/>
  <c r="I11" i="20"/>
  <c r="E36" i="11"/>
  <c r="I36" i="11"/>
  <c r="F40" i="11"/>
  <c r="L6" i="6"/>
  <c r="M6" i="6"/>
  <c r="I43" i="11"/>
  <c r="O9" i="6"/>
  <c r="P9" i="6"/>
  <c r="L13" i="6"/>
  <c r="M40" i="11"/>
  <c r="O13" i="6"/>
  <c r="P13" i="6"/>
  <c r="M43" i="11"/>
  <c r="G38" i="11"/>
  <c r="O11" i="6"/>
  <c r="P11" i="6"/>
  <c r="K43" i="11"/>
  <c r="D39" i="11"/>
  <c r="L5" i="6"/>
  <c r="M5" i="6"/>
  <c r="L8" i="6"/>
  <c r="M8" i="6"/>
  <c r="E40" i="11"/>
  <c r="D37" i="11"/>
  <c r="O7" i="6"/>
  <c r="P7" i="6"/>
  <c r="B14" i="6"/>
  <c r="C27" i="11"/>
  <c r="E28" i="11"/>
  <c r="T11" i="6"/>
  <c r="E11" i="2"/>
  <c r="H6" i="6"/>
  <c r="H14" i="6"/>
  <c r="T10" i="6"/>
  <c r="B10" i="2"/>
  <c r="K28" i="11"/>
  <c r="C25" i="11"/>
  <c r="T8" i="6"/>
  <c r="E8" i="2"/>
  <c r="E3" i="17"/>
  <c r="H28" i="11"/>
  <c r="G28" i="11"/>
  <c r="E37" i="11"/>
  <c r="E9" i="6"/>
  <c r="E7" i="6"/>
  <c r="T7" i="6"/>
  <c r="E7" i="2"/>
  <c r="F28" i="11"/>
  <c r="J28" i="11"/>
  <c r="E5" i="6"/>
  <c r="T5" i="6"/>
  <c r="E5" i="2"/>
  <c r="B8" i="2"/>
  <c r="T9" i="6"/>
  <c r="E9" i="2"/>
  <c r="E6" i="6"/>
  <c r="T12" i="6"/>
  <c r="E12" i="2"/>
  <c r="D28" i="11"/>
  <c r="L28" i="11"/>
  <c r="M28" i="11"/>
  <c r="I28" i="11"/>
  <c r="E13" i="6"/>
  <c r="T13" i="6"/>
  <c r="C23" i="11"/>
  <c r="E4" i="6"/>
  <c r="B11" i="2"/>
  <c r="E10" i="2"/>
  <c r="T6" i="6"/>
  <c r="B6" i="2"/>
  <c r="C28" i="11"/>
  <c r="B7" i="2"/>
  <c r="B5" i="2"/>
  <c r="B12" i="2"/>
  <c r="B9" i="2"/>
  <c r="B13" i="2"/>
  <c r="E13" i="2"/>
  <c r="E14" i="6"/>
  <c r="T4" i="6"/>
  <c r="E6" i="2"/>
  <c r="B4" i="2"/>
  <c r="B14" i="2"/>
  <c r="E4" i="2"/>
  <c r="T14" i="6"/>
  <c r="E14" i="2"/>
  <c r="I7" i="20"/>
  <c r="U11" i="20"/>
  <c r="M13" i="6"/>
  <c r="J40" i="11"/>
  <c r="C11" i="11"/>
  <c r="L10" i="6"/>
  <c r="T3" i="20"/>
  <c r="C40" i="11"/>
  <c r="M10" i="6"/>
  <c r="L14" i="6"/>
  <c r="M14" i="6"/>
  <c r="M15" i="6"/>
  <c r="F8" i="11"/>
  <c r="F37" i="11"/>
  <c r="F42" i="11"/>
  <c r="M42" i="11"/>
  <c r="F12" i="20"/>
  <c r="I12" i="20"/>
  <c r="D41" i="11"/>
  <c r="C12" i="11"/>
  <c r="E34" i="10"/>
  <c r="I8" i="20"/>
  <c r="E3" i="10"/>
  <c r="I42" i="11"/>
  <c r="U12" i="20"/>
  <c r="J42" i="11"/>
  <c r="C13" i="11"/>
  <c r="G42" i="11"/>
  <c r="C41" i="11"/>
  <c r="C42" i="11"/>
  <c r="G8" i="11"/>
  <c r="H65" i="9"/>
  <c r="E64" i="9"/>
  <c r="J8" i="11"/>
  <c r="J37" i="11"/>
  <c r="E63" i="9"/>
  <c r="I8" i="11"/>
  <c r="I37" i="11"/>
  <c r="C7" i="11"/>
  <c r="D36" i="11"/>
  <c r="C36" i="11"/>
  <c r="E4" i="9"/>
  <c r="AL72" i="19"/>
  <c r="AL84" i="19"/>
  <c r="C11" i="6"/>
  <c r="D11" i="6"/>
  <c r="C6" i="6"/>
  <c r="D6" i="6"/>
  <c r="F4" i="6"/>
  <c r="G4" i="6"/>
  <c r="C12" i="6"/>
  <c r="D12" i="6"/>
  <c r="F7" i="6"/>
  <c r="G7" i="6"/>
  <c r="C4" i="6"/>
  <c r="D4" i="6"/>
  <c r="C10" i="6"/>
  <c r="D10" i="6"/>
  <c r="F6" i="6"/>
  <c r="G6" i="6"/>
  <c r="C13" i="6"/>
  <c r="D13" i="6"/>
  <c r="F5" i="6"/>
  <c r="G5" i="6"/>
  <c r="C7" i="6"/>
  <c r="D7" i="6"/>
  <c r="C5" i="6"/>
  <c r="D5" i="6"/>
  <c r="F8" i="6"/>
  <c r="G8" i="6"/>
  <c r="C8" i="6"/>
  <c r="D8" i="6"/>
  <c r="C9" i="6"/>
  <c r="D9" i="6"/>
  <c r="AL35" i="19"/>
  <c r="W68" i="3"/>
  <c r="X68" i="3"/>
  <c r="W98" i="3"/>
  <c r="X98" i="3"/>
  <c r="N127" i="3"/>
  <c r="O127" i="3"/>
  <c r="K130" i="3"/>
  <c r="L130" i="3"/>
  <c r="K131" i="3"/>
  <c r="L131" i="3"/>
  <c r="H136" i="3"/>
  <c r="I136" i="3"/>
  <c r="H132" i="3"/>
  <c r="I132" i="3"/>
  <c r="T134" i="3"/>
  <c r="D66" i="14"/>
  <c r="W134" i="3"/>
  <c r="D101" i="14"/>
  <c r="Q127" i="3"/>
  <c r="R127" i="3"/>
  <c r="N131" i="3"/>
  <c r="O131" i="3"/>
  <c r="AL48" i="19"/>
  <c r="AL61" i="19"/>
  <c r="AL114" i="19"/>
  <c r="AL111" i="19"/>
  <c r="AL113" i="19"/>
  <c r="AL112" i="19"/>
  <c r="AL22" i="19"/>
  <c r="AK107" i="19"/>
  <c r="Z129" i="3"/>
  <c r="AA129" i="3"/>
  <c r="N130" i="3"/>
  <c r="O130" i="3"/>
  <c r="W128" i="3"/>
  <c r="X128" i="3"/>
  <c r="Z127" i="3"/>
  <c r="AA127" i="3"/>
  <c r="T127" i="3"/>
  <c r="U127" i="3"/>
  <c r="Q131" i="3"/>
  <c r="R131" i="3"/>
  <c r="H128" i="3"/>
  <c r="I128" i="3"/>
  <c r="H131" i="3"/>
  <c r="I131" i="3"/>
  <c r="T129" i="3"/>
  <c r="D61" i="14"/>
  <c r="K136" i="3"/>
  <c r="L136" i="3"/>
  <c r="T128" i="3"/>
  <c r="U128" i="3"/>
  <c r="T136" i="3"/>
  <c r="D68" i="14"/>
  <c r="Z130" i="3"/>
  <c r="AA130" i="3"/>
  <c r="H133" i="3"/>
  <c r="I133" i="3"/>
  <c r="H130" i="3"/>
  <c r="I130" i="3"/>
  <c r="Q136" i="3"/>
  <c r="R136" i="3"/>
  <c r="K134" i="3"/>
  <c r="L134" i="3"/>
  <c r="Z136" i="3"/>
  <c r="N134" i="3"/>
  <c r="O134" i="3"/>
  <c r="AL3" i="19"/>
  <c r="K71" i="3"/>
  <c r="K81" i="3"/>
  <c r="L81" i="3"/>
  <c r="Z73" i="3"/>
  <c r="N69" i="3"/>
  <c r="O69" i="3"/>
  <c r="N99" i="3"/>
  <c r="O99" i="3"/>
  <c r="N74" i="3"/>
  <c r="N84" i="3"/>
  <c r="O84" i="3"/>
  <c r="Q74" i="3"/>
  <c r="Q84" i="3"/>
  <c r="R84" i="3"/>
  <c r="Z76" i="3"/>
  <c r="Q72" i="3"/>
  <c r="Q82" i="3"/>
  <c r="R82" i="3"/>
  <c r="H129" i="3"/>
  <c r="I129" i="3"/>
  <c r="Z133" i="3"/>
  <c r="AA133" i="3"/>
  <c r="W130" i="3"/>
  <c r="X130" i="3"/>
  <c r="K129" i="3"/>
  <c r="L129" i="3"/>
  <c r="K127" i="3"/>
  <c r="L127" i="3"/>
  <c r="Z134" i="3"/>
  <c r="K135" i="3"/>
  <c r="L135" i="3"/>
  <c r="T133" i="3"/>
  <c r="K128" i="3"/>
  <c r="L128" i="3"/>
  <c r="W129" i="3"/>
  <c r="H134" i="3"/>
  <c r="I134" i="3"/>
  <c r="W135" i="3"/>
  <c r="X135" i="3"/>
  <c r="N135" i="3"/>
  <c r="O135" i="3"/>
  <c r="H127" i="3"/>
  <c r="I127" i="3"/>
  <c r="W133" i="3"/>
  <c r="N133" i="3"/>
  <c r="O133" i="3"/>
  <c r="N129" i="3"/>
  <c r="O129" i="3"/>
  <c r="N132" i="3"/>
  <c r="O132" i="3"/>
  <c r="N136" i="3"/>
  <c r="O136" i="3"/>
  <c r="Z132" i="3"/>
  <c r="T132" i="3"/>
  <c r="Z128" i="3"/>
  <c r="Q135" i="3"/>
  <c r="R135" i="3"/>
  <c r="T130" i="3"/>
  <c r="U130" i="3"/>
  <c r="K132" i="3"/>
  <c r="L132" i="3"/>
  <c r="W131" i="3"/>
  <c r="Q133" i="3"/>
  <c r="Q129" i="3"/>
  <c r="Q130" i="3"/>
  <c r="Q134" i="3"/>
  <c r="D31" i="14"/>
  <c r="T135" i="3"/>
  <c r="N128" i="3"/>
  <c r="O128" i="3"/>
  <c r="Z131" i="3"/>
  <c r="AA131" i="3"/>
  <c r="Q132" i="3"/>
  <c r="R132" i="3"/>
  <c r="T131" i="3"/>
  <c r="Z135" i="3"/>
  <c r="H135" i="3"/>
  <c r="I135" i="3"/>
  <c r="W127" i="3"/>
  <c r="W136" i="3"/>
  <c r="Q128" i="3"/>
  <c r="W132" i="3"/>
  <c r="U75" i="3"/>
  <c r="T105" i="3"/>
  <c r="U105" i="3"/>
  <c r="T85" i="3"/>
  <c r="U85" i="3"/>
  <c r="Z75" i="3"/>
  <c r="Z68" i="3"/>
  <c r="H71" i="3"/>
  <c r="T76" i="3"/>
  <c r="W75" i="3"/>
  <c r="W67" i="3"/>
  <c r="W77" i="3"/>
  <c r="X77" i="3"/>
  <c r="N71" i="3"/>
  <c r="K70" i="3"/>
  <c r="K72" i="3"/>
  <c r="Z72" i="3"/>
  <c r="K75" i="3"/>
  <c r="N72" i="3"/>
  <c r="T67" i="3"/>
  <c r="N67" i="3"/>
  <c r="K69" i="3"/>
  <c r="K79" i="3"/>
  <c r="L79" i="3"/>
  <c r="T73" i="3"/>
  <c r="K74" i="3"/>
  <c r="Q71" i="3"/>
  <c r="Z67" i="3"/>
  <c r="Z77" i="3"/>
  <c r="AA77" i="3"/>
  <c r="W69" i="3"/>
  <c r="H73" i="3"/>
  <c r="T70" i="3"/>
  <c r="Q73" i="3"/>
  <c r="W72" i="3"/>
  <c r="H74" i="3"/>
  <c r="Z74" i="3"/>
  <c r="Q75" i="3"/>
  <c r="H69" i="3"/>
  <c r="Q70" i="3"/>
  <c r="W71" i="3"/>
  <c r="T74" i="3"/>
  <c r="H70" i="3"/>
  <c r="N75" i="3"/>
  <c r="W76" i="3"/>
  <c r="K73" i="3"/>
  <c r="T72" i="3"/>
  <c r="N76" i="3"/>
  <c r="H72" i="3"/>
  <c r="T71" i="3"/>
  <c r="H76" i="3"/>
  <c r="Q68" i="3"/>
  <c r="K68" i="3"/>
  <c r="W74" i="3"/>
  <c r="Z71" i="3"/>
  <c r="K67" i="3"/>
  <c r="Z69" i="3"/>
  <c r="K76" i="3"/>
  <c r="W73" i="3"/>
  <c r="W70" i="3"/>
  <c r="Q76" i="3"/>
  <c r="H67" i="3"/>
  <c r="H75" i="3"/>
  <c r="Q69" i="3"/>
  <c r="N70" i="3"/>
  <c r="Z70" i="3"/>
  <c r="Q67" i="3"/>
  <c r="T69" i="3"/>
  <c r="N73" i="3"/>
  <c r="N68" i="3"/>
  <c r="H68" i="3"/>
  <c r="T68" i="3"/>
  <c r="F9" i="6"/>
  <c r="G9" i="6"/>
  <c r="F10" i="6"/>
  <c r="G10" i="6"/>
  <c r="H66" i="9"/>
  <c r="E65" i="9"/>
  <c r="K8" i="11"/>
  <c r="G37" i="11"/>
  <c r="D28" i="14"/>
  <c r="D132" i="14"/>
  <c r="W78" i="3"/>
  <c r="X78" i="3"/>
  <c r="C14" i="6"/>
  <c r="G25" i="9"/>
  <c r="G84" i="9"/>
  <c r="D131" i="14"/>
  <c r="X134" i="3"/>
  <c r="U134" i="3"/>
  <c r="D60" i="14"/>
  <c r="U129" i="3"/>
  <c r="D129" i="14"/>
  <c r="D24" i="14"/>
  <c r="E127" i="3"/>
  <c r="L4" i="4"/>
  <c r="M4" i="4"/>
  <c r="D95" i="14"/>
  <c r="F25" i="9"/>
  <c r="E27" i="9"/>
  <c r="E9" i="11"/>
  <c r="E6" i="20"/>
  <c r="E5" i="20"/>
  <c r="D6" i="20"/>
  <c r="U136" i="3"/>
  <c r="E134" i="3"/>
  <c r="L11" i="4"/>
  <c r="M11" i="4"/>
  <c r="D33" i="14"/>
  <c r="D138" i="14"/>
  <c r="AA136" i="3"/>
  <c r="D59" i="14"/>
  <c r="D32" i="14"/>
  <c r="R134" i="3"/>
  <c r="D102" i="14"/>
  <c r="D14" i="6"/>
  <c r="AA67" i="3"/>
  <c r="Z97" i="3"/>
  <c r="AA97" i="3"/>
  <c r="L71" i="3"/>
  <c r="K101" i="3"/>
  <c r="L101" i="3"/>
  <c r="L69" i="3"/>
  <c r="K99" i="3"/>
  <c r="L99" i="3"/>
  <c r="O74" i="3"/>
  <c r="N104" i="3"/>
  <c r="O104" i="3"/>
  <c r="N79" i="3"/>
  <c r="O79" i="3"/>
  <c r="D62" i="14"/>
  <c r="D133" i="14"/>
  <c r="AA76" i="3"/>
  <c r="Z106" i="3"/>
  <c r="AA106" i="3"/>
  <c r="Z86" i="3"/>
  <c r="AA86" i="3"/>
  <c r="R72" i="3"/>
  <c r="Q102" i="3"/>
  <c r="R74" i="3"/>
  <c r="Q104" i="3"/>
  <c r="R104" i="3"/>
  <c r="Z83" i="3"/>
  <c r="AA83" i="3"/>
  <c r="AA73" i="3"/>
  <c r="Z103" i="3"/>
  <c r="AA103" i="3"/>
  <c r="E128" i="3"/>
  <c r="L5" i="4"/>
  <c r="M5" i="4"/>
  <c r="D130" i="14"/>
  <c r="AA128" i="3"/>
  <c r="D97" i="14"/>
  <c r="D99" i="14"/>
  <c r="X132" i="3"/>
  <c r="D29" i="14"/>
  <c r="E132" i="3"/>
  <c r="L9" i="4"/>
  <c r="M9" i="4"/>
  <c r="X131" i="3"/>
  <c r="D98" i="14"/>
  <c r="D134" i="14"/>
  <c r="AA132" i="3"/>
  <c r="E133" i="3"/>
  <c r="L10" i="4"/>
  <c r="M10" i="4"/>
  <c r="D100" i="14"/>
  <c r="D135" i="14"/>
  <c r="R128" i="3"/>
  <c r="D25" i="14"/>
  <c r="D65" i="14"/>
  <c r="U133" i="3"/>
  <c r="R130" i="3"/>
  <c r="F130" i="3"/>
  <c r="D27" i="14"/>
  <c r="X129" i="3"/>
  <c r="D96" i="14"/>
  <c r="E130" i="3"/>
  <c r="L7" i="4"/>
  <c r="M7" i="4"/>
  <c r="AA135" i="3"/>
  <c r="D137" i="14"/>
  <c r="U131" i="3"/>
  <c r="D63" i="14"/>
  <c r="E131" i="3"/>
  <c r="L8" i="4"/>
  <c r="M8" i="4"/>
  <c r="D64" i="14"/>
  <c r="U132" i="3"/>
  <c r="X133" i="3"/>
  <c r="D103" i="14"/>
  <c r="E136" i="3"/>
  <c r="L13" i="4"/>
  <c r="M13" i="4"/>
  <c r="X136" i="3"/>
  <c r="U135" i="3"/>
  <c r="D67" i="14"/>
  <c r="E135" i="3"/>
  <c r="L12" i="4"/>
  <c r="M12" i="4"/>
  <c r="AA134" i="3"/>
  <c r="D136" i="14"/>
  <c r="E129" i="3"/>
  <c r="L6" i="4"/>
  <c r="M6" i="4"/>
  <c r="R129" i="3"/>
  <c r="D26" i="14"/>
  <c r="R133" i="3"/>
  <c r="D30" i="14"/>
  <c r="X127" i="3"/>
  <c r="F127" i="3"/>
  <c r="D94" i="14"/>
  <c r="T86" i="3"/>
  <c r="U86" i="3"/>
  <c r="U76" i="3"/>
  <c r="T106" i="3"/>
  <c r="U106" i="3"/>
  <c r="L72" i="3"/>
  <c r="K102" i="3"/>
  <c r="L102" i="3"/>
  <c r="K82" i="3"/>
  <c r="L82" i="3"/>
  <c r="H81" i="3"/>
  <c r="I81" i="3"/>
  <c r="I71" i="3"/>
  <c r="H101" i="3"/>
  <c r="I101" i="3"/>
  <c r="O72" i="3"/>
  <c r="N102" i="3"/>
  <c r="O102" i="3"/>
  <c r="N82" i="3"/>
  <c r="O82" i="3"/>
  <c r="R71" i="3"/>
  <c r="Q101" i="3"/>
  <c r="R101" i="3"/>
  <c r="Q81" i="3"/>
  <c r="R81" i="3"/>
  <c r="Z82" i="3"/>
  <c r="AA82" i="3"/>
  <c r="AA72" i="3"/>
  <c r="Z102" i="3"/>
  <c r="AA102" i="3"/>
  <c r="U73" i="3"/>
  <c r="T103" i="3"/>
  <c r="U103" i="3"/>
  <c r="T83" i="3"/>
  <c r="U83" i="3"/>
  <c r="L70" i="3"/>
  <c r="K100" i="3"/>
  <c r="L100" i="3"/>
  <c r="K80" i="3"/>
  <c r="L80" i="3"/>
  <c r="Z78" i="3"/>
  <c r="AA78" i="3"/>
  <c r="AA68" i="3"/>
  <c r="Z98" i="3"/>
  <c r="AA98" i="3"/>
  <c r="K85" i="3"/>
  <c r="L85" i="3"/>
  <c r="L75" i="3"/>
  <c r="K105" i="3"/>
  <c r="L105" i="3"/>
  <c r="K84" i="3"/>
  <c r="L84" i="3"/>
  <c r="L74" i="3"/>
  <c r="K104" i="3"/>
  <c r="L104" i="3"/>
  <c r="E71" i="3"/>
  <c r="AA75" i="3"/>
  <c r="Z105" i="3"/>
  <c r="AA105" i="3"/>
  <c r="Z85" i="3"/>
  <c r="AA85" i="3"/>
  <c r="X67" i="3"/>
  <c r="W97" i="3"/>
  <c r="X97" i="3"/>
  <c r="W85" i="3"/>
  <c r="X85" i="3"/>
  <c r="X75" i="3"/>
  <c r="W105" i="3"/>
  <c r="X105" i="3"/>
  <c r="O67" i="3"/>
  <c r="N97" i="3"/>
  <c r="O97" i="3"/>
  <c r="N77" i="3"/>
  <c r="O77" i="3"/>
  <c r="T77" i="3"/>
  <c r="U77" i="3"/>
  <c r="U67" i="3"/>
  <c r="T97" i="3"/>
  <c r="U97" i="3"/>
  <c r="N81" i="3"/>
  <c r="O81" i="3"/>
  <c r="O71" i="3"/>
  <c r="N101" i="3"/>
  <c r="O101" i="3"/>
  <c r="W86" i="3"/>
  <c r="X86" i="3"/>
  <c r="X76" i="3"/>
  <c r="W106" i="3"/>
  <c r="X106" i="3"/>
  <c r="O75" i="3"/>
  <c r="N105" i="3"/>
  <c r="O105" i="3"/>
  <c r="N85" i="3"/>
  <c r="O85" i="3"/>
  <c r="I76" i="3"/>
  <c r="H106" i="3"/>
  <c r="I106" i="3"/>
  <c r="H86" i="3"/>
  <c r="I86" i="3"/>
  <c r="AA70" i="3"/>
  <c r="Z100" i="3"/>
  <c r="AA100" i="3"/>
  <c r="Z80" i="3"/>
  <c r="AA80" i="3"/>
  <c r="K86" i="3"/>
  <c r="L86" i="3"/>
  <c r="L76" i="3"/>
  <c r="K106" i="3"/>
  <c r="L106" i="3"/>
  <c r="U71" i="3"/>
  <c r="T81" i="3"/>
  <c r="T84" i="3"/>
  <c r="U74" i="3"/>
  <c r="E74" i="3"/>
  <c r="R73" i="3"/>
  <c r="Q83" i="3"/>
  <c r="E73" i="3"/>
  <c r="D15" i="6"/>
  <c r="L68" i="3"/>
  <c r="K98" i="3"/>
  <c r="L98" i="3"/>
  <c r="K78" i="3"/>
  <c r="L78" i="3"/>
  <c r="R68" i="3"/>
  <c r="E68" i="3"/>
  <c r="Q78" i="3"/>
  <c r="O70" i="3"/>
  <c r="N100" i="3"/>
  <c r="O100" i="3"/>
  <c r="N80" i="3"/>
  <c r="O80" i="3"/>
  <c r="Z79" i="3"/>
  <c r="AA79" i="3"/>
  <c r="AA69" i="3"/>
  <c r="Z99" i="3"/>
  <c r="AA99" i="3"/>
  <c r="I72" i="3"/>
  <c r="H102" i="3"/>
  <c r="I102" i="3"/>
  <c r="H82" i="3"/>
  <c r="I82" i="3"/>
  <c r="W81" i="3"/>
  <c r="X81" i="3"/>
  <c r="X71" i="3"/>
  <c r="W101" i="3"/>
  <c r="X101" i="3"/>
  <c r="U70" i="3"/>
  <c r="T100" i="3"/>
  <c r="U100" i="3"/>
  <c r="T80" i="3"/>
  <c r="U80" i="3"/>
  <c r="I74" i="3"/>
  <c r="H104" i="3"/>
  <c r="I104" i="3"/>
  <c r="H84" i="3"/>
  <c r="I84" i="3"/>
  <c r="T78" i="3"/>
  <c r="U78" i="3"/>
  <c r="U68" i="3"/>
  <c r="T98" i="3"/>
  <c r="U98" i="3"/>
  <c r="R69" i="3"/>
  <c r="Q79" i="3"/>
  <c r="E69" i="3"/>
  <c r="L67" i="3"/>
  <c r="K97" i="3"/>
  <c r="L97" i="3"/>
  <c r="K77" i="3"/>
  <c r="L77" i="3"/>
  <c r="N86" i="3"/>
  <c r="O86" i="3"/>
  <c r="O76" i="3"/>
  <c r="N106" i="3"/>
  <c r="O106" i="3"/>
  <c r="Q80" i="3"/>
  <c r="E70" i="3"/>
  <c r="R70" i="3"/>
  <c r="I73" i="3"/>
  <c r="H103" i="3"/>
  <c r="I103" i="3"/>
  <c r="H83" i="3"/>
  <c r="I83" i="3"/>
  <c r="X70" i="3"/>
  <c r="W100" i="3"/>
  <c r="X100" i="3"/>
  <c r="W80" i="3"/>
  <c r="X80" i="3"/>
  <c r="Q77" i="3"/>
  <c r="E67" i="3"/>
  <c r="R67" i="3"/>
  <c r="I70" i="3"/>
  <c r="H100" i="3"/>
  <c r="I100" i="3"/>
  <c r="H80" i="3"/>
  <c r="I80" i="3"/>
  <c r="H78" i="3"/>
  <c r="I78" i="3"/>
  <c r="I68" i="3"/>
  <c r="H98" i="3"/>
  <c r="I98" i="3"/>
  <c r="I75" i="3"/>
  <c r="H105" i="3"/>
  <c r="I105" i="3"/>
  <c r="H85" i="3"/>
  <c r="I85" i="3"/>
  <c r="Z81" i="3"/>
  <c r="AA81" i="3"/>
  <c r="AA71" i="3"/>
  <c r="Z101" i="3"/>
  <c r="AA101" i="3"/>
  <c r="U72" i="3"/>
  <c r="T102" i="3"/>
  <c r="U102" i="3"/>
  <c r="T82" i="3"/>
  <c r="I69" i="3"/>
  <c r="H99" i="3"/>
  <c r="I99" i="3"/>
  <c r="H79" i="3"/>
  <c r="I79" i="3"/>
  <c r="X69" i="3"/>
  <c r="W99" i="3"/>
  <c r="X99" i="3"/>
  <c r="W79" i="3"/>
  <c r="X79" i="3"/>
  <c r="E72" i="3"/>
  <c r="O73" i="3"/>
  <c r="N103" i="3"/>
  <c r="O103" i="3"/>
  <c r="N83" i="3"/>
  <c r="O83" i="3"/>
  <c r="Q86" i="3"/>
  <c r="E76" i="3"/>
  <c r="R76" i="3"/>
  <c r="AA74" i="3"/>
  <c r="Z104" i="3"/>
  <c r="AA104" i="3"/>
  <c r="Z84" i="3"/>
  <c r="AA84" i="3"/>
  <c r="T79" i="3"/>
  <c r="U79" i="3"/>
  <c r="U69" i="3"/>
  <c r="T99" i="3"/>
  <c r="U99" i="3"/>
  <c r="X73" i="3"/>
  <c r="W103" i="3"/>
  <c r="X103" i="3"/>
  <c r="W83" i="3"/>
  <c r="X83" i="3"/>
  <c r="X72" i="3"/>
  <c r="W102" i="3"/>
  <c r="X102" i="3"/>
  <c r="W82" i="3"/>
  <c r="X82" i="3"/>
  <c r="N78" i="3"/>
  <c r="O78" i="3"/>
  <c r="O68" i="3"/>
  <c r="N98" i="3"/>
  <c r="O98" i="3"/>
  <c r="H77" i="3"/>
  <c r="I77" i="3"/>
  <c r="I67" i="3"/>
  <c r="H97" i="3"/>
  <c r="I97" i="3"/>
  <c r="W84" i="3"/>
  <c r="X84" i="3"/>
  <c r="X74" i="3"/>
  <c r="W104" i="3"/>
  <c r="X104" i="3"/>
  <c r="L73" i="3"/>
  <c r="K103" i="3"/>
  <c r="L103" i="3"/>
  <c r="K83" i="3"/>
  <c r="L83" i="3"/>
  <c r="R75" i="3"/>
  <c r="E75" i="3"/>
  <c r="Q85" i="3"/>
  <c r="K37" i="11"/>
  <c r="F11" i="6"/>
  <c r="H67" i="9"/>
  <c r="E67" i="9"/>
  <c r="M8" i="11"/>
  <c r="E66" i="9"/>
  <c r="L8" i="11"/>
  <c r="H57" i="9"/>
  <c r="G102" i="9"/>
  <c r="G107" i="9"/>
  <c r="G85" i="9"/>
  <c r="G82" i="9"/>
  <c r="G81" i="9"/>
  <c r="G86" i="9"/>
  <c r="G105" i="9"/>
  <c r="G3" i="9"/>
  <c r="G106" i="9"/>
  <c r="G108" i="9"/>
  <c r="G104" i="9"/>
  <c r="G103" i="9"/>
  <c r="G87" i="9"/>
  <c r="G83" i="9"/>
  <c r="G101" i="9"/>
  <c r="Q6" i="20"/>
  <c r="Q5" i="20"/>
  <c r="G88" i="9"/>
  <c r="D5" i="20"/>
  <c r="I5" i="20"/>
  <c r="I6" i="20"/>
  <c r="E38" i="11"/>
  <c r="E44" i="11"/>
  <c r="E15" i="11"/>
  <c r="I5" i="6"/>
  <c r="J5" i="6"/>
  <c r="F102" i="9"/>
  <c r="F83" i="9"/>
  <c r="F103" i="9"/>
  <c r="F108" i="9"/>
  <c r="F88" i="9"/>
  <c r="F87" i="9"/>
  <c r="F3" i="9"/>
  <c r="F107" i="9"/>
  <c r="F85" i="9"/>
  <c r="F86" i="9"/>
  <c r="F81" i="9"/>
  <c r="F104" i="9"/>
  <c r="F106" i="9"/>
  <c r="F82" i="9"/>
  <c r="F84" i="9"/>
  <c r="P6" i="20"/>
  <c r="F105" i="9"/>
  <c r="F101" i="9"/>
  <c r="F136" i="3"/>
  <c r="F134" i="3"/>
  <c r="H25" i="9"/>
  <c r="E26" i="9"/>
  <c r="F141" i="9"/>
  <c r="E141" i="9"/>
  <c r="F140" i="9"/>
  <c r="E140" i="9"/>
  <c r="G196" i="19"/>
  <c r="F131" i="9"/>
  <c r="E131" i="9"/>
  <c r="F130" i="9"/>
  <c r="AL103" i="19"/>
  <c r="F135" i="3"/>
  <c r="F133" i="3"/>
  <c r="M14" i="4"/>
  <c r="F132" i="3"/>
  <c r="F23" i="20"/>
  <c r="F131" i="3"/>
  <c r="S23" i="20"/>
  <c r="F129" i="3"/>
  <c r="R20" i="20"/>
  <c r="R21" i="20"/>
  <c r="E23" i="20"/>
  <c r="G23" i="20"/>
  <c r="R23" i="20"/>
  <c r="L14" i="4"/>
  <c r="M15" i="4"/>
  <c r="D23" i="20"/>
  <c r="P23" i="20"/>
  <c r="F128" i="3"/>
  <c r="Q23" i="20"/>
  <c r="F21" i="20"/>
  <c r="G20" i="20"/>
  <c r="Q105" i="3"/>
  <c r="F75" i="3"/>
  <c r="R79" i="3"/>
  <c r="F79" i="3"/>
  <c r="E79" i="3"/>
  <c r="O6" i="4"/>
  <c r="P6" i="4"/>
  <c r="R77" i="3"/>
  <c r="E77" i="3"/>
  <c r="O4" i="4"/>
  <c r="F72" i="3"/>
  <c r="R80" i="3"/>
  <c r="F80" i="3"/>
  <c r="E80" i="3"/>
  <c r="O7" i="4"/>
  <c r="P7" i="4"/>
  <c r="F20" i="20"/>
  <c r="Q98" i="3"/>
  <c r="F68" i="3"/>
  <c r="F74" i="3"/>
  <c r="T104" i="3"/>
  <c r="T101" i="3"/>
  <c r="F71" i="3"/>
  <c r="Q100" i="3"/>
  <c r="F70" i="3"/>
  <c r="F69" i="3"/>
  <c r="Q99" i="3"/>
  <c r="E102" i="3"/>
  <c r="I9" i="4"/>
  <c r="R102" i="3"/>
  <c r="F102" i="3"/>
  <c r="S20" i="20"/>
  <c r="E86" i="3"/>
  <c r="O13" i="4"/>
  <c r="P13" i="4"/>
  <c r="R86" i="3"/>
  <c r="F86" i="3"/>
  <c r="U84" i="3"/>
  <c r="F84" i="3"/>
  <c r="E84" i="3"/>
  <c r="O11" i="4"/>
  <c r="P11" i="4"/>
  <c r="Q97" i="3"/>
  <c r="F67" i="3"/>
  <c r="E83" i="3"/>
  <c r="O10" i="4"/>
  <c r="P10" i="4"/>
  <c r="R83" i="3"/>
  <c r="F83" i="3"/>
  <c r="R78" i="3"/>
  <c r="F78" i="3"/>
  <c r="E78" i="3"/>
  <c r="O5" i="4"/>
  <c r="P5" i="4"/>
  <c r="Q103" i="3"/>
  <c r="F73" i="3"/>
  <c r="Q106" i="3"/>
  <c r="F76" i="3"/>
  <c r="E85" i="3"/>
  <c r="O12" i="4"/>
  <c r="P12" i="4"/>
  <c r="R85" i="3"/>
  <c r="F85" i="3"/>
  <c r="U82" i="3"/>
  <c r="F82" i="3"/>
  <c r="E82" i="3"/>
  <c r="O9" i="4"/>
  <c r="P9" i="4"/>
  <c r="S21" i="20"/>
  <c r="G21" i="20"/>
  <c r="U81" i="3"/>
  <c r="F81" i="3"/>
  <c r="E81" i="3"/>
  <c r="O8" i="4"/>
  <c r="P8" i="4"/>
  <c r="L37" i="11"/>
  <c r="F12" i="6"/>
  <c r="G12" i="6"/>
  <c r="C8" i="11"/>
  <c r="M37" i="11"/>
  <c r="F13" i="6"/>
  <c r="G13" i="6"/>
  <c r="G11" i="6"/>
  <c r="E57" i="9"/>
  <c r="E10" i="20"/>
  <c r="E9" i="20"/>
  <c r="E3" i="20"/>
  <c r="G78" i="9"/>
  <c r="G56" i="9"/>
  <c r="P5" i="20"/>
  <c r="U5" i="20"/>
  <c r="U6" i="20"/>
  <c r="F78" i="9"/>
  <c r="D10" i="20"/>
  <c r="D9" i="20"/>
  <c r="D13" i="20"/>
  <c r="F129" i="9"/>
  <c r="P13" i="20"/>
  <c r="U13" i="20"/>
  <c r="E130" i="9"/>
  <c r="E25" i="9"/>
  <c r="E3" i="9"/>
  <c r="D9" i="11"/>
  <c r="H104" i="9"/>
  <c r="E104" i="9"/>
  <c r="H3" i="9"/>
  <c r="H102" i="9"/>
  <c r="E102" i="9"/>
  <c r="H108" i="9"/>
  <c r="E108" i="9"/>
  <c r="H107" i="9"/>
  <c r="E107" i="9"/>
  <c r="H105" i="9"/>
  <c r="E105" i="9"/>
  <c r="H82" i="9"/>
  <c r="E82" i="9"/>
  <c r="H87" i="9"/>
  <c r="E87" i="9"/>
  <c r="H86" i="9"/>
  <c r="E86" i="9"/>
  <c r="H103" i="9"/>
  <c r="E103" i="9"/>
  <c r="H101" i="9"/>
  <c r="E101" i="9"/>
  <c r="H81" i="9"/>
  <c r="H84" i="9"/>
  <c r="E84" i="9"/>
  <c r="H106" i="9"/>
  <c r="E106" i="9"/>
  <c r="H83" i="9"/>
  <c r="E83" i="9"/>
  <c r="H85" i="9"/>
  <c r="E85" i="9"/>
  <c r="H88" i="9"/>
  <c r="E88" i="9"/>
  <c r="E14" i="11"/>
  <c r="I23" i="20"/>
  <c r="R19" i="20"/>
  <c r="R15" i="20"/>
  <c r="F19" i="20"/>
  <c r="F15" i="20"/>
  <c r="U23" i="20"/>
  <c r="S19" i="20"/>
  <c r="S15" i="20"/>
  <c r="G19" i="20"/>
  <c r="G15" i="20"/>
  <c r="E21" i="20"/>
  <c r="Q21" i="20"/>
  <c r="O14" i="4"/>
  <c r="P4" i="4"/>
  <c r="R99" i="3"/>
  <c r="F99" i="3"/>
  <c r="E99" i="3"/>
  <c r="I6" i="4"/>
  <c r="D21" i="20"/>
  <c r="P21" i="20"/>
  <c r="F77" i="3"/>
  <c r="U9" i="4"/>
  <c r="J9" i="4"/>
  <c r="E100" i="3"/>
  <c r="I7" i="4"/>
  <c r="R100" i="3"/>
  <c r="F100" i="3"/>
  <c r="R106" i="3"/>
  <c r="F106" i="3"/>
  <c r="E106" i="3"/>
  <c r="I13" i="4"/>
  <c r="R103" i="3"/>
  <c r="F103" i="3"/>
  <c r="E103" i="3"/>
  <c r="I10" i="4"/>
  <c r="R105" i="3"/>
  <c r="F105" i="3"/>
  <c r="E105" i="3"/>
  <c r="I12" i="4"/>
  <c r="E98" i="3"/>
  <c r="I5" i="4"/>
  <c r="R98" i="3"/>
  <c r="F98" i="3"/>
  <c r="E97" i="3"/>
  <c r="I4" i="4"/>
  <c r="R97" i="3"/>
  <c r="U101" i="3"/>
  <c r="E101" i="3"/>
  <c r="I8" i="4"/>
  <c r="U104" i="3"/>
  <c r="F104" i="3"/>
  <c r="E104" i="3"/>
  <c r="I11" i="4"/>
  <c r="F14" i="6"/>
  <c r="G14" i="6"/>
  <c r="G15" i="6"/>
  <c r="C37" i="11"/>
  <c r="I9" i="20"/>
  <c r="I10" i="20"/>
  <c r="Q10" i="20"/>
  <c r="Q9" i="20"/>
  <c r="Q3" i="20"/>
  <c r="M10" i="11"/>
  <c r="M39" i="11"/>
  <c r="M44" i="11"/>
  <c r="K10" i="11"/>
  <c r="K39" i="11"/>
  <c r="K44" i="11"/>
  <c r="I10" i="11"/>
  <c r="I9" i="6"/>
  <c r="P10" i="20"/>
  <c r="F56" i="9"/>
  <c r="J10" i="11"/>
  <c r="J15" i="11"/>
  <c r="L10" i="11"/>
  <c r="D15" i="11"/>
  <c r="C9" i="11"/>
  <c r="I4" i="6"/>
  <c r="J4" i="6"/>
  <c r="D38" i="11"/>
  <c r="H10" i="11"/>
  <c r="G10" i="11"/>
  <c r="E129" i="9"/>
  <c r="D14" i="11"/>
  <c r="O5" i="6"/>
  <c r="E43" i="11"/>
  <c r="H78" i="9"/>
  <c r="H56" i="9"/>
  <c r="E81" i="9"/>
  <c r="I13" i="20"/>
  <c r="D3" i="20"/>
  <c r="I3" i="20"/>
  <c r="U21" i="20"/>
  <c r="I21" i="20"/>
  <c r="U8" i="4"/>
  <c r="J8" i="4"/>
  <c r="J11" i="4"/>
  <c r="U11" i="4"/>
  <c r="J4" i="4"/>
  <c r="U4" i="4"/>
  <c r="I14" i="4"/>
  <c r="U6" i="4"/>
  <c r="J6" i="4"/>
  <c r="J10" i="4"/>
  <c r="U10" i="4"/>
  <c r="F101" i="3"/>
  <c r="E20" i="20"/>
  <c r="E19" i="20"/>
  <c r="E15" i="20"/>
  <c r="Q20" i="20"/>
  <c r="Q19" i="20"/>
  <c r="Q15" i="20"/>
  <c r="F97" i="3"/>
  <c r="D20" i="20"/>
  <c r="P20" i="20"/>
  <c r="V9" i="4"/>
  <c r="U13" i="4"/>
  <c r="J13" i="4"/>
  <c r="U5" i="4"/>
  <c r="J5" i="4"/>
  <c r="U7" i="4"/>
  <c r="J7" i="4"/>
  <c r="P14" i="4"/>
  <c r="P15" i="4"/>
  <c r="J12" i="4"/>
  <c r="U12" i="4"/>
  <c r="I11" i="6"/>
  <c r="U11" i="6"/>
  <c r="V11" i="6"/>
  <c r="M15" i="11"/>
  <c r="I13" i="6"/>
  <c r="U13" i="6"/>
  <c r="V13" i="6"/>
  <c r="I10" i="6"/>
  <c r="J10" i="6"/>
  <c r="J39" i="11"/>
  <c r="J44" i="11"/>
  <c r="K15" i="11"/>
  <c r="I39" i="11"/>
  <c r="I44" i="11"/>
  <c r="I15" i="11"/>
  <c r="P9" i="20"/>
  <c r="U10" i="20"/>
  <c r="L15" i="11"/>
  <c r="I12" i="6"/>
  <c r="L39" i="11"/>
  <c r="L44" i="11"/>
  <c r="F10" i="11"/>
  <c r="E78" i="9"/>
  <c r="E56" i="9"/>
  <c r="G15" i="11"/>
  <c r="G39" i="11"/>
  <c r="G44" i="11"/>
  <c r="I7" i="6"/>
  <c r="H39" i="11"/>
  <c r="H44" i="11"/>
  <c r="I8" i="6"/>
  <c r="H15" i="11"/>
  <c r="C38" i="11"/>
  <c r="D43" i="11"/>
  <c r="C43" i="11"/>
  <c r="O4" i="6"/>
  <c r="C14" i="11"/>
  <c r="U5" i="6"/>
  <c r="F5" i="2"/>
  <c r="G5" i="2"/>
  <c r="J5" i="2"/>
  <c r="P5" i="6"/>
  <c r="J9" i="6"/>
  <c r="U9" i="6"/>
  <c r="V7" i="4"/>
  <c r="J15" i="4"/>
  <c r="J14" i="4"/>
  <c r="I20" i="20"/>
  <c r="D19" i="20"/>
  <c r="V13" i="4"/>
  <c r="V11" i="4"/>
  <c r="V10" i="4"/>
  <c r="V6" i="4"/>
  <c r="V5" i="4"/>
  <c r="U14" i="4"/>
  <c r="V4" i="4"/>
  <c r="V12" i="4"/>
  <c r="P19" i="20"/>
  <c r="U20" i="20"/>
  <c r="V8" i="4"/>
  <c r="F11" i="2"/>
  <c r="G11" i="2"/>
  <c r="J11" i="2"/>
  <c r="J11" i="6"/>
  <c r="C11" i="2"/>
  <c r="D11" i="2"/>
  <c r="I11" i="2"/>
  <c r="F13" i="2"/>
  <c r="G13" i="2"/>
  <c r="J13" i="2"/>
  <c r="C13" i="2"/>
  <c r="D13" i="2"/>
  <c r="I13" i="2"/>
  <c r="J13" i="6"/>
  <c r="U10" i="6"/>
  <c r="F10" i="2"/>
  <c r="G10" i="2"/>
  <c r="J10" i="2"/>
  <c r="U9" i="20"/>
  <c r="P3" i="20"/>
  <c r="U3" i="20"/>
  <c r="U12" i="6"/>
  <c r="J12" i="6"/>
  <c r="D44" i="11"/>
  <c r="J7" i="6"/>
  <c r="U7" i="6"/>
  <c r="C5" i="2"/>
  <c r="D5" i="2"/>
  <c r="I5" i="2"/>
  <c r="V5" i="6"/>
  <c r="P4" i="6"/>
  <c r="O14" i="6"/>
  <c r="U4" i="6"/>
  <c r="C9" i="2"/>
  <c r="D9" i="2"/>
  <c r="I9" i="2"/>
  <c r="V9" i="6"/>
  <c r="F9" i="2"/>
  <c r="G9" i="2"/>
  <c r="J9" i="2"/>
  <c r="J8" i="6"/>
  <c r="U8" i="6"/>
  <c r="I6" i="6"/>
  <c r="C10" i="11"/>
  <c r="C15" i="11"/>
  <c r="F15" i="11"/>
  <c r="F39" i="11"/>
  <c r="P15" i="20"/>
  <c r="U15" i="20"/>
  <c r="U19" i="20"/>
  <c r="V15" i="4"/>
  <c r="V14" i="4"/>
  <c r="D15" i="20"/>
  <c r="I15" i="20"/>
  <c r="I19" i="20"/>
  <c r="C10" i="2"/>
  <c r="D10" i="2"/>
  <c r="I10" i="2"/>
  <c r="V10" i="6"/>
  <c r="V12" i="6"/>
  <c r="F12" i="2"/>
  <c r="G12" i="2"/>
  <c r="J12" i="2"/>
  <c r="C12" i="2"/>
  <c r="D12" i="2"/>
  <c r="I12" i="2"/>
  <c r="J6" i="6"/>
  <c r="U6" i="6"/>
  <c r="U14" i="6"/>
  <c r="I14" i="6"/>
  <c r="V8" i="6"/>
  <c r="F8" i="2"/>
  <c r="G8" i="2"/>
  <c r="J8" i="2"/>
  <c r="C8" i="2"/>
  <c r="D8" i="2"/>
  <c r="I8" i="2"/>
  <c r="C7" i="2"/>
  <c r="D7" i="2"/>
  <c r="I7" i="2"/>
  <c r="V7" i="6"/>
  <c r="F7" i="2"/>
  <c r="G7" i="2"/>
  <c r="J7" i="2"/>
  <c r="V4" i="6"/>
  <c r="C4" i="2"/>
  <c r="F4" i="2"/>
  <c r="P15" i="6"/>
  <c r="P14" i="6"/>
  <c r="C39" i="11"/>
  <c r="F44" i="11"/>
  <c r="C44" i="11"/>
  <c r="D4" i="2"/>
  <c r="G4" i="2"/>
  <c r="V6" i="6"/>
  <c r="V15" i="6"/>
  <c r="J17" i="2"/>
  <c r="B2" i="7"/>
  <c r="C6" i="2"/>
  <c r="D6" i="2"/>
  <c r="I6" i="2"/>
  <c r="F6" i="2"/>
  <c r="G6" i="2"/>
  <c r="J6" i="2"/>
  <c r="J15" i="6"/>
  <c r="J14" i="6"/>
  <c r="F14" i="2"/>
  <c r="R7" i="7"/>
  <c r="O7" i="7"/>
  <c r="F7" i="7"/>
  <c r="C26" i="7"/>
  <c r="C42" i="7"/>
  <c r="I7" i="7"/>
  <c r="C7" i="7"/>
  <c r="L7" i="7"/>
  <c r="G14" i="2"/>
  <c r="J4" i="2"/>
  <c r="J19" i="2"/>
  <c r="V14" i="6"/>
  <c r="C14" i="2"/>
  <c r="D14" i="2"/>
  <c r="I4" i="2"/>
  <c r="I14" i="2"/>
  <c r="J21" i="2"/>
  <c r="J18" i="2"/>
  <c r="J14" i="2"/>
  <c r="J22" i="2"/>
  <c r="K4" i="2"/>
  <c r="K5" i="2"/>
  <c r="K6" i="2"/>
  <c r="K7" i="2"/>
  <c r="K8" i="2"/>
  <c r="K9" i="2"/>
  <c r="K10" i="2"/>
  <c r="K11" i="2"/>
  <c r="K12" i="2"/>
  <c r="K13" i="2"/>
  <c r="L4" i="2"/>
  <c r="L5" i="2"/>
  <c r="L6" i="2"/>
  <c r="L7" i="2"/>
  <c r="L8" i="2"/>
  <c r="L9" i="2"/>
  <c r="L10" i="2"/>
  <c r="L11" i="2"/>
  <c r="L12" i="2"/>
  <c r="L1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KPMG</author>
  </authors>
  <commentList>
    <comment ref="I14" authorId="0" shapeId="0" xr:uid="{00000000-0006-0000-0300-000001000000}">
      <text>
        <r>
          <rPr>
            <sz val="8"/>
            <color rgb="FF000000"/>
            <rFont val="Tahoma"/>
            <family val="2"/>
            <charset val="238"/>
          </rPr>
          <t xml:space="preserve">ocakavame zapornu hodnotu
</t>
        </r>
        <r>
          <rPr>
            <sz val="8"/>
            <color rgb="FF000000"/>
            <rFont val="Tahoma"/>
            <family val="2"/>
            <charset val="238"/>
          </rPr>
          <t xml:space="preserve">
</t>
        </r>
        <r>
          <rPr>
            <sz val="8"/>
            <color rgb="FF000000"/>
            <rFont val="Tahoma"/>
            <family val="2"/>
            <charset val="238"/>
          </rPr>
          <t>tato zaporna hodnota ma zodpovedat max. fin. pomoci z SF</t>
        </r>
      </text>
    </comment>
    <comment ref="J14" authorId="0" shapeId="0" xr:uid="{00000000-0006-0000-0300-000002000000}">
      <text>
        <r>
          <rPr>
            <sz val="8"/>
            <color indexed="81"/>
            <rFont val="Tahoma"/>
            <family val="2"/>
            <charset val="238"/>
          </rPr>
          <t>ocakavame kladnu hodnotu (moze byt aj nizko nad nulou)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Zuzana Mikitova</author>
  </authors>
  <commentList>
    <comment ref="F34" authorId="0" shapeId="0" xr:uid="{9BF15EA6-C818-4BD1-8FD8-F2592B2E1160}">
      <text>
        <r>
          <rPr>
            <b/>
            <sz val="9"/>
            <color indexed="81"/>
            <rFont val="Segoe UI"/>
            <family val="2"/>
            <charset val="238"/>
          </rPr>
          <t>Zuzana Mikitova:</t>
        </r>
        <r>
          <rPr>
            <sz val="9"/>
            <color indexed="81"/>
            <rFont val="Segoe UI"/>
            <family val="2"/>
            <charset val="238"/>
          </rPr>
          <t xml:space="preserve">
Traja administrátori IS DP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Zuzana Mikitova</author>
  </authors>
  <commentList>
    <comment ref="F65" authorId="0" shapeId="0" xr:uid="{4C01408E-865C-4473-979B-4C97EFB9002B}">
      <text>
        <r>
          <rPr>
            <b/>
            <sz val="9"/>
            <color indexed="81"/>
            <rFont val="Segoe UI"/>
            <family val="2"/>
            <charset val="238"/>
          </rPr>
          <t>Zuzana Mikitova:</t>
        </r>
        <r>
          <rPr>
            <sz val="9"/>
            <color indexed="81"/>
            <rFont val="Segoe UI"/>
            <family val="2"/>
            <charset val="238"/>
          </rPr>
          <t xml:space="preserve">
3 Administrátori IS DP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L107" authorId="0" shapeId="0" xr:uid="{00000000-0006-0000-0D00-000001000000}">
      <text>
        <r>
          <rPr>
            <b/>
            <sz val="9"/>
            <color rgb="FF000000"/>
            <rFont val="Calibri"/>
            <family val="2"/>
          </rPr>
          <t>Krok Martin: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 xml:space="preserve">Súčet by mal zodpoveď Investičným nákladom na vývoj aplikácií
</t>
        </r>
        <r>
          <rPr>
            <sz val="9"/>
            <color rgb="FF000000"/>
            <rFont val="Calibri"/>
            <family val="2"/>
          </rPr>
          <t xml:space="preserve"> v Alternatíve 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G12" authorId="0" shapeId="0" xr:uid="{00000000-0006-0000-0F00-000001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H12" authorId="0" shapeId="0" xr:uid="{00000000-0006-0000-0F00-000002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I12" authorId="0" shapeId="0" xr:uid="{00000000-0006-0000-0F00-000003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P12" authorId="0" shapeId="0" xr:uid="{00000000-0006-0000-0F00-000004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</commentList>
</comments>
</file>

<file path=xl/sharedStrings.xml><?xml version="1.0" encoding="utf-8"?>
<sst xmlns="http://schemas.openxmlformats.org/spreadsheetml/2006/main" count="1910" uniqueCount="473">
  <si>
    <t>Príloha pre výpočet TCO a čistej súčasnej hodnoty z projektu</t>
  </si>
  <si>
    <t>Pre projekty zamerané na služby agendových informačných systémov</t>
  </si>
  <si>
    <t>Metodický pokyn k vypracovaniu finančnej analýzy projektu, analýzy nákladov a prínosov projektu a finančnej analýzy žiadateľa o NFP v programovom období 2014 – 2020.</t>
  </si>
  <si>
    <t>Názov riešenia</t>
  </si>
  <si>
    <t>Číslo projektu ITMS</t>
  </si>
  <si>
    <t>Kód ISVS z MetaIS</t>
  </si>
  <si>
    <t>Organizácia</t>
  </si>
  <si>
    <t>Ulica</t>
  </si>
  <si>
    <t>PSČ</t>
  </si>
  <si>
    <t>Web</t>
  </si>
  <si>
    <t>IČO</t>
  </si>
  <si>
    <t>Spracovateľ</t>
  </si>
  <si>
    <t xml:space="preserve">    Titul, Meno, Priezvisko</t>
  </si>
  <si>
    <t xml:space="preserve">Kontakt na spracovateľa    </t>
  </si>
  <si>
    <t xml:space="preserve">    Email, telefón</t>
  </si>
  <si>
    <t>Jednotlivé informácie sú farebne odlíšené nasledovne:</t>
  </si>
  <si>
    <t>Hlavička tabuľky</t>
  </si>
  <si>
    <t>Popisná informácia</t>
  </si>
  <si>
    <t>Automaticky vypočitavané hodnoty</t>
  </si>
  <si>
    <t>Miesto na vpisovanie vlastných hodnôt</t>
  </si>
  <si>
    <t>Preddefinované konštanty</t>
  </si>
  <si>
    <t>Zoznam hárkov s vysvetlením a pokynmi</t>
  </si>
  <si>
    <t>Hárok</t>
  </si>
  <si>
    <t>Účel hárku</t>
  </si>
  <si>
    <t>Vstupy od zhotoviteľa (žlté polia)</t>
  </si>
  <si>
    <t>Sumarizácia</t>
  </si>
  <si>
    <t>Sumarizácia výsledkov CBA podľa prínosov a modulov</t>
  </si>
  <si>
    <t>Vymenovanie a popísanie nevyčíslených spoločenských prínosov</t>
  </si>
  <si>
    <t>CBA</t>
  </si>
  <si>
    <t>Výsledky CBA na agregátnej úrovni, výpočet BCR</t>
  </si>
  <si>
    <t>Žiadne</t>
  </si>
  <si>
    <t>Analyza citlivosti</t>
  </si>
  <si>
    <t>Automatický výpočet citlivosti výsledkov CBA na zmeny parametrov</t>
  </si>
  <si>
    <t>Prínosy</t>
  </si>
  <si>
    <t>Výpočet prínosov projektu na základe vstupných parametrov</t>
  </si>
  <si>
    <t>Polia "Ostatné daňové a nedaňové príjmy" (ak projekt také generuje)</t>
  </si>
  <si>
    <t>Výdavky</t>
  </si>
  <si>
    <t>Výpočet výdavkov projektu na základe vstupných parametrov</t>
  </si>
  <si>
    <t>Parametre</t>
  </si>
  <si>
    <t>Vstupné parametre pre jednotlivé moduly/životné situácie: počty podaní, trvania času</t>
  </si>
  <si>
    <t>Všetky relevantné žlté polia</t>
  </si>
  <si>
    <t>TCO</t>
  </si>
  <si>
    <t>Zhrnutie celkových nákladov na vlastníctvo oboch alternatív projektu</t>
  </si>
  <si>
    <t>TCO Alt. 1 - SW</t>
  </si>
  <si>
    <t xml:space="preserve">Náklady na vlastníctvo softvéru alternatívy 1 (AS IS) </t>
  </si>
  <si>
    <t>TCO Alt. 1 - HW</t>
  </si>
  <si>
    <t xml:space="preserve">Náklady na vlastníctvo hardvéru alternatívy 1 (AS IS) </t>
  </si>
  <si>
    <t>TCO Alt. 2 - SW</t>
  </si>
  <si>
    <t xml:space="preserve">Náklady na vlastníctvo softvéru alternatívy 2 (TO BE) </t>
  </si>
  <si>
    <t>TCO Alt. 2 - HW</t>
  </si>
  <si>
    <t>Náklady na vlastníctvo hardvéru alternatívy 2 (TO BE)</t>
  </si>
  <si>
    <t>Rozpočet - vývoj aplikácii</t>
  </si>
  <si>
    <t>Detailný rozpočet pre vývoj navrhovaného riešenia (TO BE)</t>
  </si>
  <si>
    <t>Všetky relevantné žlté polia a časové trvanie projektu</t>
  </si>
  <si>
    <t>Rozpočet - HW a licencie</t>
  </si>
  <si>
    <t>Položkový rozpočet pre nákup licencií a HW (TO BE)</t>
  </si>
  <si>
    <t>Slepý rozpočet</t>
  </si>
  <si>
    <t>Vyplnia dodávateľia, oslovení v procese trhovej konzultácie</t>
  </si>
  <si>
    <t>Zoznam modulov s ich opisom a harmonogramom</t>
  </si>
  <si>
    <t>Faktory</t>
  </si>
  <si>
    <t>Spoločné vstupné parametre pre ocenenie prínosov a výpočet CBA</t>
  </si>
  <si>
    <t>Aktuálne priemerné mzdy v hospodárstve podľa ŠÚ SR, rok začiatku projektu</t>
  </si>
  <si>
    <t>Meranie prínosov</t>
  </si>
  <si>
    <t xml:space="preserve">Slúži na rozdelenie prínosov podľa jednotlivých úradov (ak je to možné) 
a na ex-post monitorovanie dosahovania prínosov. </t>
  </si>
  <si>
    <t xml:space="preserve">V procese prípravy štúdie vyplní iba žlté stĺpce označené ako "Alt. 2", ktoré rozdeľujú prínosy podľa úradov </t>
  </si>
  <si>
    <t>Procesné mapy</t>
  </si>
  <si>
    <t>Procesné mapy súčasného a budúceho stavu biznis procesov.</t>
  </si>
  <si>
    <t>Procesné mapy ako obrázky.</t>
  </si>
  <si>
    <t>Procesy AS IS</t>
  </si>
  <si>
    <t xml:space="preserve">Zdroj dát pre odhad časovej náročnosti súčasných procesov. </t>
  </si>
  <si>
    <t>Relevantné merania podľa procesov a procesných krokov.</t>
  </si>
  <si>
    <t>Procesy TO BE</t>
  </si>
  <si>
    <t xml:space="preserve">Zdroj dát pre odhad časovej náročnosti budúcich procesov. </t>
  </si>
  <si>
    <t>TO BE - AS IS (€, NPV)</t>
  </si>
  <si>
    <t>TO BE - AS IS (€, SUM)</t>
  </si>
  <si>
    <t>Integrácie a migrácie (modulov)</t>
  </si>
  <si>
    <t>Spolu</t>
  </si>
  <si>
    <t>Náklady s DPH</t>
  </si>
  <si>
    <t>Všeobecný materiál</t>
  </si>
  <si>
    <t>N/A</t>
  </si>
  <si>
    <t>IT - CAPEX</t>
  </si>
  <si>
    <t>Aplikácie</t>
  </si>
  <si>
    <t>SW</t>
  </si>
  <si>
    <t>HW</t>
  </si>
  <si>
    <t>IT - OPEX</t>
  </si>
  <si>
    <t>Riadenie projektu</t>
  </si>
  <si>
    <t>Výstupné náklady</t>
  </si>
  <si>
    <t>Finančné prínosy</t>
  </si>
  <si>
    <t>Administratívne poplatky</t>
  </si>
  <si>
    <t>Ostatné daňové a nedaňové príjmy</t>
  </si>
  <si>
    <t>Ekonomické prínosy</t>
  </si>
  <si>
    <t>Občania (€)</t>
  </si>
  <si>
    <t xml:space="preserve">Úradníci (€) </t>
  </si>
  <si>
    <t>Úradníci (FTE)</t>
  </si>
  <si>
    <t>Kvalitatívne prínosy</t>
  </si>
  <si>
    <t>Nevyčíslené spoločenské prínosy</t>
  </si>
  <si>
    <t>(prosíme doplniť)...</t>
  </si>
  <si>
    <t>...</t>
  </si>
  <si>
    <t>Cashflow projektu</t>
  </si>
  <si>
    <t>Čistá súčasná hodnota z projektu</t>
  </si>
  <si>
    <t>Finančný cashflow (s DPH)</t>
  </si>
  <si>
    <t>Ekonomický cashflow (bez DPH)</t>
  </si>
  <si>
    <t>koeficient obdobia</t>
  </si>
  <si>
    <t>Finančná (FNPV)</t>
  </si>
  <si>
    <t>Ekonomická (ENPV)</t>
  </si>
  <si>
    <t>Kumulovaná diskont. návratnosť ENPV</t>
  </si>
  <si>
    <t>Obdobie</t>
  </si>
  <si>
    <t>AS IS</t>
  </si>
  <si>
    <t>TO BE</t>
  </si>
  <si>
    <t>rozdiel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</si>
  <si>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</si>
  <si>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</si>
  <si>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</si>
  <si>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</si>
  <si>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</si>
  <si>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</si>
  <si>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</si>
  <si>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</si>
  <si>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</si>
  <si>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</si>
  <si>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SPOLU</t>
  </si>
  <si>
    <t>Výsledok CBA</t>
  </si>
  <si>
    <t>Výsledná hodnota</t>
  </si>
  <si>
    <t>Minimálna hodnota</t>
  </si>
  <si>
    <t>BCR</t>
  </si>
  <si>
    <t>pomer prínosov a nákladov</t>
  </si>
  <si>
    <t>FIRR</t>
  </si>
  <si>
    <t>finančná vnútorná výnosová miera (%)</t>
  </si>
  <si>
    <t>-</t>
  </si>
  <si>
    <t>EIRR</t>
  </si>
  <si>
    <t>ekonomická vnútorná výnosová miera (%)</t>
  </si>
  <si>
    <t>FNPV</t>
  </si>
  <si>
    <t>finančná čistá súčasná hodnota (eur s DPH)</t>
  </si>
  <si>
    <t>ENPV</t>
  </si>
  <si>
    <t>ekonomická čistá súčasná hodnota (eur bez DPH)</t>
  </si>
  <si>
    <t>Zdielané služby</t>
  </si>
  <si>
    <t>Dôchodkové poistenie</t>
  </si>
  <si>
    <t>Nemocenské poistenie</t>
  </si>
  <si>
    <t>Úrazové poistenie</t>
  </si>
  <si>
    <t>Poistenie v nezamestnanosti</t>
  </si>
  <si>
    <t>Koncová služba</t>
  </si>
  <si>
    <t>Koncová služba N</t>
  </si>
  <si>
    <t>Koncová služba 1</t>
  </si>
  <si>
    <t>Koncová služba 2</t>
  </si>
  <si>
    <t>Koncová služba 3</t>
  </si>
  <si>
    <t>Aplikačný modul - SW a Aplikácie</t>
  </si>
  <si>
    <t>Správa podkladov a výstupov</t>
  </si>
  <si>
    <t>Výplata dávok a realizácia zrážok</t>
  </si>
  <si>
    <t>Špecializovaný modul Agenda GP</t>
  </si>
  <si>
    <t>Špecializovaný modul Agenda NP</t>
  </si>
  <si>
    <t>Špecializovaný modul Agenda ÚP</t>
  </si>
  <si>
    <t>Špecializovaný modul Agenda PvN</t>
  </si>
  <si>
    <t>Aplikačný modul - HW</t>
  </si>
  <si>
    <t>Parameter</t>
  </si>
  <si>
    <t>Jednotka</t>
  </si>
  <si>
    <t>Rozdiel</t>
  </si>
  <si>
    <t>Počet podaní / volaní</t>
  </si>
  <si>
    <t>počet / rok</t>
  </si>
  <si>
    <r>
      <t xml:space="preserve">Materiálové náklady na 1 podanie </t>
    </r>
    <r>
      <rPr>
        <i/>
        <sz val="11"/>
        <color theme="1"/>
        <rFont val="Calibri"/>
        <family val="2"/>
        <charset val="238"/>
        <scheme val="minor"/>
      </rPr>
      <t xml:space="preserve">(napr. Poštovné (0,83 EUR)+Tlač (0,02 EUR)+Papier (0,01 EUR)+Obálka (0,03 EUR). Zhotoviteľ štúdie doplní skutočné náklady)
</t>
    </r>
  </si>
  <si>
    <t>EUR</t>
  </si>
  <si>
    <t>Výška administratívneho poplatku</t>
  </si>
  <si>
    <t>Trvanie spracovania podania (ušetrený čas úradníka)</t>
  </si>
  <si>
    <t>človeko-hod.</t>
  </si>
  <si>
    <t>Čas potrebný na vypracovanie a doručenie podania (ušetrený čas používateľa)</t>
  </si>
  <si>
    <t>hod.</t>
  </si>
  <si>
    <t>Cena ušetreného času úradníka</t>
  </si>
  <si>
    <t>FTE úradník</t>
  </si>
  <si>
    <t>FTE</t>
  </si>
  <si>
    <t>Cena ušetreného času používateľa
(S pravidlom polovice)</t>
  </si>
  <si>
    <t>Materiálové náklady</t>
  </si>
  <si>
    <t>Administrtívny poplatok</t>
  </si>
  <si>
    <t>Zvýšenie nákladov - TCO celkovo</t>
  </si>
  <si>
    <t>Zvýšenie CAPEX</t>
  </si>
  <si>
    <t>Zníženie kvalitatívnych prínosov</t>
  </si>
  <si>
    <t>Zníženie počtu podaní v budúcom stave</t>
  </si>
  <si>
    <t>Zníženie očakávaného ušetreného času úradníka</t>
  </si>
  <si>
    <t>Zníženie očakávaného ušetreného času používateľa</t>
  </si>
  <si>
    <t>%</t>
  </si>
  <si>
    <t>Priame prínosy</t>
  </si>
  <si>
    <t>Nepriame prínosy</t>
  </si>
  <si>
    <t>Prínosy spolu</t>
  </si>
  <si>
    <t>Cena ušetreného času používateľa</t>
  </si>
  <si>
    <t>Kvalitatívne prínosy vo finančnom vyjadrení</t>
  </si>
  <si>
    <t>NPV</t>
  </si>
  <si>
    <t>Všetky prínosové položky sú automaticky vypočítané na základe údajov uvedených v záložkách TCO, spotrebované cloudové služby a Parametre - Agendové IS</t>
  </si>
  <si>
    <t>Náklady IT systém</t>
  </si>
  <si>
    <t>Variabilné výdavky</t>
  </si>
  <si>
    <t>Výdavky spolu</t>
  </si>
  <si>
    <t>SW a Aplikácie - Výstupné náklady</t>
  </si>
  <si>
    <t>Všetky výdavkové položky sú automaticky vypočítané na základe údajov uvedených v záložkách TCO a Parametre - Agendové IS</t>
  </si>
  <si>
    <t>Celkové náklady na vlastníctvo (TCO)</t>
  </si>
  <si>
    <t>Náklady na budúce riešenie</t>
  </si>
  <si>
    <t>Rok</t>
  </si>
  <si>
    <t>SW produkty - sumár obstaranie</t>
  </si>
  <si>
    <t>SW produkty - sumár prevádzka</t>
  </si>
  <si>
    <t>Aplikácie - sumár obstaranie</t>
  </si>
  <si>
    <t>Aplikácie - sumár prevádzka</t>
  </si>
  <si>
    <t>SW a Aplikácie - výstupné náklady</t>
  </si>
  <si>
    <t>HW sumár obstaranie</t>
  </si>
  <si>
    <t>HW sumár prevádzka</t>
  </si>
  <si>
    <t xml:space="preserve">Spolu </t>
  </si>
  <si>
    <t>Náklady na existujúce riešenie
(pôvodné riešenie pred realizáciou projektu OP II), ktoré bolo nahradené</t>
  </si>
  <si>
    <t>Rozdiel v nákladoch medzi existujúcim a navrhovaným riešením</t>
  </si>
  <si>
    <t>HW (aj systémový SW) sumár obstaranie</t>
  </si>
  <si>
    <t>HW (aj systémový SW) sumár prevádzka</t>
  </si>
  <si>
    <t>Náklady na obstaranie a prevádzku SW</t>
  </si>
  <si>
    <t>Špecializovaný modul Agenda DP</t>
  </si>
  <si>
    <t>Špecializovaný modul Agenda NP + UP + PvN +GP</t>
  </si>
  <si>
    <t>Názov</t>
  </si>
  <si>
    <t>Účet/skupina výdavkov</t>
  </si>
  <si>
    <t>Kód EKO klasifikácie</t>
  </si>
  <si>
    <t>Prevádzka vytvoreného riešenia</t>
  </si>
  <si>
    <t>SW produkty</t>
  </si>
  <si>
    <t>Poplatky vlastníkovi SW produktu - údržba / support k licenciám</t>
  </si>
  <si>
    <t>511 Opravy a udržiavanie</t>
  </si>
  <si>
    <t>Upgrade SW produktu</t>
  </si>
  <si>
    <t>013 Softvér</t>
  </si>
  <si>
    <t>Poplatky za udržanie funkčnosti / dostupnosti aplikácie / update</t>
  </si>
  <si>
    <t>Aplikačná podpora / helpdesk</t>
  </si>
  <si>
    <t>518 Ostatné služby</t>
  </si>
  <si>
    <t>Rozvoj - doplnenie funkcionality aplikácie / upgrade</t>
  </si>
  <si>
    <t>Personálne náklady spojené s prevádzkou SW produktu a aplikácie</t>
  </si>
  <si>
    <t>521 Mzdové výdavky</t>
  </si>
  <si>
    <t>Školenia spojené so SW a aplikáciou</t>
  </si>
  <si>
    <t>Špecializovaný modul Agenda NP+UP+PvN+GP</t>
  </si>
  <si>
    <t>Špecializovaný modul
Agenda
Spoločné procesy</t>
  </si>
  <si>
    <t>Vytvorenie riešenia - obstaranie</t>
  </si>
  <si>
    <t>Obstaranie, inštalácia SW produktu vrátane licencie k SW</t>
  </si>
  <si>
    <t>Vytvorenie aplikácie</t>
  </si>
  <si>
    <t>Riadenie a publicita</t>
  </si>
  <si>
    <t>Projektové riadenie</t>
  </si>
  <si>
    <t>vrátane QA ÚPPVII</t>
  </si>
  <si>
    <t>Publicita a informovanosť</t>
  </si>
  <si>
    <t>637003/637004</t>
  </si>
  <si>
    <t>Technologické požiadavky</t>
  </si>
  <si>
    <t>Zmluvné poplatky</t>
  </si>
  <si>
    <t>Criteria​</t>
  </si>
  <si>
    <t>Microsoft</t>
  </si>
  <si>
    <t>SAS</t>
  </si>
  <si>
    <t>Red Hat Jboss BPM</t>
  </si>
  <si>
    <t>Bizagi</t>
  </si>
  <si>
    <t>Average</t>
  </si>
  <si>
    <t>TEST</t>
  </si>
  <si>
    <t>PROD (min)</t>
  </si>
  <si>
    <t>PROD</t>
  </si>
  <si>
    <r>
      <t>Initial Setup Effort</t>
    </r>
    <r>
      <rPr>
        <sz val="11"/>
        <color theme="1"/>
        <rFont val="Arial"/>
        <family val="2"/>
      </rPr>
      <t>​</t>
    </r>
  </si>
  <si>
    <r>
      <t>Yearly License Cost</t>
    </r>
    <r>
      <rPr>
        <sz val="11"/>
        <color theme="1"/>
        <rFont val="Arial"/>
        <family val="2"/>
      </rPr>
      <t>​</t>
    </r>
  </si>
  <si>
    <r>
      <t>Yearly Maintenance Cost</t>
    </r>
    <r>
      <rPr>
        <sz val="11"/>
        <color theme="1"/>
        <rFont val="Arial"/>
        <family val="2"/>
      </rPr>
      <t>​</t>
    </r>
  </si>
  <si>
    <t>BRMS</t>
  </si>
  <si>
    <t>áno</t>
  </si>
  <si>
    <t>BPMS</t>
  </si>
  <si>
    <t>nie</t>
  </si>
  <si>
    <t>Activity monitoring</t>
  </si>
  <si>
    <t>Náklady na obstaranie a prevádzku HW</t>
  </si>
  <si>
    <t>Prevádzka riešenia</t>
  </si>
  <si>
    <t>Poplatky dodávateľovi podpory HW - údržba/maintenance</t>
  </si>
  <si>
    <t>Upgrade HW</t>
  </si>
  <si>
    <t>022 Samostatné hnuteľné veci
 a súbory hnuteľných vecí</t>
  </si>
  <si>
    <t>Náklady na priestory, energie</t>
  </si>
  <si>
    <t>Personálne náklady spojené s prevádzkou HW</t>
  </si>
  <si>
    <t>Školenia spojené s HW</t>
  </si>
  <si>
    <t>Špecializovaný modul Agenda Spoločné procesy</t>
  </si>
  <si>
    <t>Obstaranie</t>
  </si>
  <si>
    <t>Nákup, inštalácia a sprevádzkovanie HW 
vrátane systémového SW</t>
  </si>
  <si>
    <t>Nákup, inštalácia a sprevádzkovanie HW
 vrátane systémového SW</t>
  </si>
  <si>
    <t>112 Zásoby</t>
  </si>
  <si>
    <t>Výstup/funkcionalita projektu</t>
  </si>
  <si>
    <t>Popis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</si>
  <si>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</si>
  <si>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</si>
  <si>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</si>
  <si>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</si>
  <si>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</si>
  <si>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</si>
  <si>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</si>
  <si>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</si>
  <si>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</si>
  <si>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</si>
  <si>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</si>
  <si>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</si>
  <si>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</si>
  <si>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</si>
  <si>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</si>
  <si>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</si>
  <si>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</si>
  <si>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</si>
  <si>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</si>
  <si>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</si>
  <si>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</si>
  <si>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</si>
  <si>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</si>
  <si>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</si>
  <si>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</si>
  <si>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</si>
  <si>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Počet dní interné</t>
  </si>
  <si>
    <t>Počet dní externé</t>
  </si>
  <si>
    <t>Počet ČD</t>
  </si>
  <si>
    <t>Pocet FTE interne</t>
  </si>
  <si>
    <t>Pocet FTE externe</t>
  </si>
  <si>
    <t>Rate FTE interné</t>
  </si>
  <si>
    <t>Rate FTE externé</t>
  </si>
  <si>
    <t>Suma interné</t>
  </si>
  <si>
    <t>Suma externé</t>
  </si>
  <si>
    <t>Koncepčný návrh IS JSD a spoločné moduly IS JSD</t>
  </si>
  <si>
    <t>PP/SM</t>
  </si>
  <si>
    <t>Analýza a dizajn riešenia okrem integrácie</t>
  </si>
  <si>
    <t>IT analytik</t>
  </si>
  <si>
    <t>IT architekt</t>
  </si>
  <si>
    <t>Analýza a dizajn riešenia –  integrácia na Modul procesnej integrácie a integrácie údajov</t>
  </si>
  <si>
    <t>Nákup HW a krabicového softvéru pre riešenie okrem integrácie</t>
  </si>
  <si>
    <t xml:space="preserve"> </t>
  </si>
  <si>
    <t>Implementácia riešenia okrem integrácie</t>
  </si>
  <si>
    <t>IT programátor/vývojár</t>
  </si>
  <si>
    <t>Implementácia riešenia – integrácia na iný IS SP</t>
  </si>
  <si>
    <t>Implementácia riešenia –  integrácia na Modul procesnej integrácie a integrácie údajov</t>
  </si>
  <si>
    <t>Testovanie - okrem integrácie</t>
  </si>
  <si>
    <t>IT tester</t>
  </si>
  <si>
    <t>Testovanie  –  integrácia na Modul procesnej integrácie a integrácie údajov</t>
  </si>
  <si>
    <t>Testovanie - integrácie na iný IS SP</t>
  </si>
  <si>
    <t>Testovanie  –  integrácia na iný IS SP</t>
  </si>
  <si>
    <t>Špecialista pre infraštruktúrny/HW špecialista</t>
  </si>
  <si>
    <t>Školiteľ pre IT systémy</t>
  </si>
  <si>
    <t>Nasadenie riešenia okrem integrácie</t>
  </si>
  <si>
    <t>Projektový manažér IT projektu</t>
  </si>
  <si>
    <t>Konanie o krátkodobých dávkach – úrazové poistenie</t>
  </si>
  <si>
    <t>UP</t>
  </si>
  <si>
    <t>Špecialista pre databázy</t>
  </si>
  <si>
    <t>Konanie o krátkodobých dávkach – NP, PvN, GP</t>
  </si>
  <si>
    <t>NP, PvN, GP</t>
  </si>
  <si>
    <t>Konanie o dávkach DP</t>
  </si>
  <si>
    <t>DP</t>
  </si>
  <si>
    <t>Prierezové procesy sociálneho poistenia - podpora UP</t>
  </si>
  <si>
    <t>PP - UP</t>
  </si>
  <si>
    <t>Prierezové procesy sociálneho poistenia - podpora NP, PvN, GP</t>
  </si>
  <si>
    <t>PP - NP, PvN, GP</t>
  </si>
  <si>
    <t xml:space="preserve">Testovanie  – integrácia na iný IS SP </t>
  </si>
  <si>
    <t>Prierezové procesy sociálneho poistenia - podpora DP</t>
  </si>
  <si>
    <t>PP - DP</t>
  </si>
  <si>
    <t>Transformácia dátového fondu a migrácia</t>
  </si>
  <si>
    <t>TDF</t>
  </si>
  <si>
    <t>Podporné aktivity</t>
  </si>
  <si>
    <t>QA ÚPPVII (3%)</t>
  </si>
  <si>
    <t>INDIKATÍVNY ROZPOČET SPOLU</t>
  </si>
  <si>
    <t>Položka</t>
  </si>
  <si>
    <t>Merná jednotka</t>
  </si>
  <si>
    <t>Počet</t>
  </si>
  <si>
    <t>Jednotková cena (eur)</t>
  </si>
  <si>
    <t>Celková suma (eur)</t>
  </si>
  <si>
    <t>Zdroj ceny</t>
  </si>
  <si>
    <t>Operačný systém - licencia (napr. RedHat Linux)</t>
  </si>
  <si>
    <t>licencia / server</t>
  </si>
  <si>
    <t>Katalóg služieb vládneho cloudu</t>
  </si>
  <si>
    <t>Databáza (spoločná)</t>
  </si>
  <si>
    <t>licencia / počet CPU</t>
  </si>
  <si>
    <t>Aplikácia dlhodobé dávky</t>
  </si>
  <si>
    <t>Aplikácia krátkodobé dávky</t>
  </si>
  <si>
    <t>Aplikačný monitoring (napr. Zabbix)</t>
  </si>
  <si>
    <t>Open source software</t>
  </si>
  <si>
    <t>Logovanie, auditné logovanie (napr. ELK)</t>
  </si>
  <si>
    <t>Správa používateľov - IAM (napr. OpenLDAP)</t>
  </si>
  <si>
    <t>Základné reporty (napr. Redash)</t>
  </si>
  <si>
    <t>Middleware - BPM platforma</t>
  </si>
  <si>
    <t>Prieskum trhu</t>
  </si>
  <si>
    <t>Prepojenie s Legacy/virtualizácia legacy</t>
  </si>
  <si>
    <t>HW - Privátny cloud - JSD TEST 
(-	24 jadier CPU_x000D_
-	256 GB aktívna pamäť_x000D_
-	10 Gbps ETH a 8 Gbps FC sieťové karty_x000D_
-	Linux OS_x000D_
-	Virtualizačné nástroje)</t>
  </si>
  <si>
    <t>HW - Privátny cloud - JSD PROD 
(-	48 jadier CPU
-	512 GB aktívna pamäť
-	10 Gbps ETH a 8 Gbps FC sieťové karty
-	Linux OS
-	Virtualizačné nástroje)</t>
  </si>
  <si>
    <t> Kalkulácia SP, vrátane Podpora a údržba na 3 roky</t>
  </si>
  <si>
    <t>Vyplní spracovateľ projektu</t>
  </si>
  <si>
    <t>Vyplní oslovený dodávateľ</t>
  </si>
  <si>
    <t>Riešenie navrhované obstarávateľom</t>
  </si>
  <si>
    <t>Alternatívne riešeine
(nepovinné)</t>
  </si>
  <si>
    <t>Nákup krabicového SW</t>
  </si>
  <si>
    <t>Dodatočná úprava krabicového SW / Vývoj riešenia</t>
  </si>
  <si>
    <t>Výstup/funkcionalita projektu
(všetky náklady vrátane analýzy, dizajnu, testovania a nasadenia)</t>
  </si>
  <si>
    <t>Popis
(Vrátane zdôvodnenia zvoleného technologického variantu - IaaS, PaaS, vývoj vlastnej aplikácie, COTS riešenie)</t>
  </si>
  <si>
    <t>Názov SW</t>
  </si>
  <si>
    <t>počet kusov</t>
  </si>
  <si>
    <t>Cena za kus</t>
  </si>
  <si>
    <t>Cena spolu</t>
  </si>
  <si>
    <t>Minimálny počet MD</t>
  </si>
  <si>
    <t>Maximálny počet MD</t>
  </si>
  <si>
    <t>Priemerný MD rate</t>
  </si>
  <si>
    <t>Minimálna suma</t>
  </si>
  <si>
    <t>Maximálna suma</t>
  </si>
  <si>
    <t>Ročná prevádzka celého systému (SLA) vrátane zmenových konaní</t>
  </si>
  <si>
    <t>Vysvetlenie rozptylu medzi minimálnou a maximálnou sumou 
(nepovinné)</t>
  </si>
  <si>
    <t>Popis zmien v alternatívnom riešení
(nepovinné)</t>
  </si>
  <si>
    <t>Rozdiel
(voči min. riešenia navrhovaneho obstarávateĹom)</t>
  </si>
  <si>
    <t xml:space="preserve">Modul 1 </t>
  </si>
  <si>
    <t>Modul 2</t>
  </si>
  <si>
    <t>Modul 3</t>
  </si>
  <si>
    <t>Modul 4</t>
  </si>
  <si>
    <t>Modul N</t>
  </si>
  <si>
    <t xml:space="preserve">Projektové riadenie </t>
  </si>
  <si>
    <t>Hodnota</t>
  </si>
  <si>
    <t>Životnosť projektu (t)</t>
  </si>
  <si>
    <t>Referenčné obdobie je počet rokov, na ktorý sa vo finančnej analýze (analýze nákladov a výnosov) uvádzajú predpovede. Predpovede týkajúce sa budúceho trendu projektu by sa mali formulovať na obdobie, ktoré je primerané jeho ekonomicky užitočnému trvaniu a ktoré je dosť dlhé na to, aby zahŕňalo jeho pravdepodobné dlhodobejšie dosahy. Ide o časové obdobie, kedy je možné overiť úspešnosť investície. Trvanie sa mení podľa povahy investície. Referenčný časový horizont v rokoch podľa sektorov je uvedený podľa prílohy 1 Delegovaného nariadenia Komisie (EÚ) 480/2014 z 3. marca 2014, ktorým sa dopĺňa všeobecné nariadenie.</t>
  </si>
  <si>
    <t>rok</t>
  </si>
  <si>
    <t>Referenčná diskontná sadzba (i)</t>
  </si>
  <si>
    <t xml:space="preserve">Diskontná sadzba, ktorá sa má používať vo finančnej analýze má informovať investora o alternatívnych kapitálových nákladoch. Môže sa za ňu považovať ušlý výnos najlepšieho alternatívneho projektu.
V prípade verejných investičných projektov spolufinancovaných z fondov sa stanovuje 4 % finančná diskontná sadzbu pre výpočet čistej súčasnej hodnoty investície v stálych cenách roku predloženia žiadosti o NFP.
</t>
  </si>
  <si>
    <t>Sociálna diskontná sadzba (r)</t>
  </si>
  <si>
    <t>Cieľom CBA je preukázať pri štrukturálne významných investíciách, že ekonomická čistá súčasná hodnota za dané obdobie a pri stanovenej sociálnej diskontnej sadzbe je kladná.</t>
  </si>
  <si>
    <t>Diskontovanie odhadovaných nákladov a prínosov: keď sa odhadne tok ekonomických nákladov a prínosov, mala by sa uplatniť štandardná diskontovaná metodika peňažného toku pomocou sociálnej diskontnej sadzby</t>
  </si>
  <si>
    <t>Priemerná mzda vo verejnej správe (aktuálna, W_ps)</t>
  </si>
  <si>
    <t>Priemerná mesačná hrubá mzda vo verejnej správe za 1. - 4. Q./2017 (obdobie aktualizovať k času predloženia dokumentu), podľa ŠÚ SR</t>
  </si>
  <si>
    <t>Osobné náklady (Cper)</t>
  </si>
  <si>
    <t xml:space="preserve">Cper = (W_ps * Odvody) / Fond pracovnej doby. Odvody (SP, ZP, DP) sú 35,2%“. Osobné náklady sú faktorom prevádzkových variabilných nákladov.
</t>
  </si>
  <si>
    <t>EUR/hod</t>
  </si>
  <si>
    <t xml:space="preserve">Priemerná mzda v NH (Cperc) </t>
  </si>
  <si>
    <t>Priemerná mesačná hrubá mzda v národnom hospodárstve SR za 1. - 4. Q./2017 (obdobie aktualizovať k času predloženia dokumentu), podľa ŠÚ SR</t>
  </si>
  <si>
    <t>Fond pracovnej doby - VS (FPDvs)</t>
  </si>
  <si>
    <t>Rok 2019 má dokopy 250 pracovných dní, t.j. 1875 pracovných hodín. S platenými sviatkami má rok 261 pracovných dní, t.j. 1957.5 pracovných hodín. 7,5 hodinový pracovný čas (obdobie aktualizovať k času predloženia dokumentu), podľa https://calendar.zoznam.sk/worktime-sksk.php?hy=2019</t>
  </si>
  <si>
    <t>hod/rok</t>
  </si>
  <si>
    <t>Fond pracovnej doby - NH (FPDnh)</t>
  </si>
  <si>
    <t>Rok 2019 má dokopy 250 pracovných dní, t.j. 2000 pracovných hodín. S platenými sviatkami má rok 261 pracovných dní, t.j. 2088 pracovných hodín.. 8 hodinový pracovný čas (obdobie aktualizovať k času predloženia dokumentu), podľa https://calendar.zoznam.sk/worktime-sksk.php?hy=2019</t>
  </si>
  <si>
    <t xml:space="preserve">Prvý rok, ktorým výpočet CBA a TCO začína, rok začatia projektu </t>
  </si>
  <si>
    <r>
      <t xml:space="preserve">Sem prosím vložte procesnú mapu stavu </t>
    </r>
    <r>
      <rPr>
        <b/>
        <sz val="20"/>
        <color theme="1"/>
        <rFont val="Calibri"/>
        <family val="2"/>
        <charset val="238"/>
        <scheme val="minor"/>
      </rPr>
      <t>AS IS</t>
    </r>
    <r>
      <rPr>
        <sz val="20"/>
        <color theme="1"/>
        <rFont val="Calibri"/>
        <family val="2"/>
        <charset val="238"/>
        <scheme val="minor"/>
      </rPr>
      <t xml:space="preserve"> a stavu </t>
    </r>
    <r>
      <rPr>
        <b/>
        <sz val="20"/>
        <color theme="1"/>
        <rFont val="Calibri"/>
        <family val="2"/>
        <charset val="238"/>
        <scheme val="minor"/>
      </rPr>
      <t>TO BE</t>
    </r>
  </si>
  <si>
    <t>napr.</t>
  </si>
  <si>
    <t>Konanie o poskytnutí dôchodkovej dávky</t>
  </si>
  <si>
    <t>Konanie o nároku na dávku z GP</t>
  </si>
  <si>
    <t>Konanie o nároku na dávku z NP</t>
  </si>
  <si>
    <t>Konanie o krátkodobej dávke TOBE</t>
  </si>
  <si>
    <t>Konanie o nároku na dávku z PvN</t>
  </si>
  <si>
    <t>Konanie o nároku na dávku z UP</t>
  </si>
  <si>
    <t>Proces poskytovania informácií</t>
  </si>
  <si>
    <t>Proces vybavovania sťažností</t>
  </si>
  <si>
    <t>Proces vybavovania žiadostí</t>
  </si>
  <si>
    <t>Procesy na strane úradníka (časové hodnoty)</t>
  </si>
  <si>
    <t>Proces č. 1</t>
  </si>
  <si>
    <t>Procesný krok č. 1</t>
  </si>
  <si>
    <t>Procesný krok č. 2</t>
  </si>
  <si>
    <t>Procesný krok č. 3</t>
  </si>
  <si>
    <t>Proces č. 2</t>
  </si>
  <si>
    <t>Zdroj</t>
  </si>
  <si>
    <t>prosím uveďte zdroj, v prípade vzorového prieskumu prosím vyplňte hodnoty za jednotlivé merania</t>
  </si>
  <si>
    <t>Meranie č. 1</t>
  </si>
  <si>
    <t>Meranie č. 2</t>
  </si>
  <si>
    <t>Meranie č. 3</t>
  </si>
  <si>
    <t>Meranie č. 4</t>
  </si>
  <si>
    <t>Meranie č. 5</t>
  </si>
  <si>
    <t>Meranie č. 6</t>
  </si>
  <si>
    <t>Meranie č. 7</t>
  </si>
  <si>
    <t>Meranie č. 8</t>
  </si>
  <si>
    <t>Meranie č. 9</t>
  </si>
  <si>
    <t>Meranie č. 10</t>
  </si>
  <si>
    <t>Meranie č. 11</t>
  </si>
  <si>
    <t>Meranie č. 12</t>
  </si>
  <si>
    <t>Meranie č. 13</t>
  </si>
  <si>
    <t>Meranie č. 14</t>
  </si>
  <si>
    <t>Meranie č. 15</t>
  </si>
  <si>
    <t>Meranie č. 16</t>
  </si>
  <si>
    <t>Meranie č. 17</t>
  </si>
  <si>
    <t>Meranie č. 18</t>
  </si>
  <si>
    <t>Meranie č. 19</t>
  </si>
  <si>
    <t>Meranie č. 20</t>
  </si>
  <si>
    <t>Meranie č. 21</t>
  </si>
  <si>
    <t>Meranie č. 22</t>
  </si>
  <si>
    <t>Meranie č. 23</t>
  </si>
  <si>
    <t>Meranie č. 24</t>
  </si>
  <si>
    <t>Meranie č. 25</t>
  </si>
  <si>
    <t>Meranie č. 26</t>
  </si>
  <si>
    <t>Meranie č. 27</t>
  </si>
  <si>
    <t>Meranie č. 28</t>
  </si>
  <si>
    <t>Meranie č. 29</t>
  </si>
  <si>
    <t>Meranie č. 30</t>
  </si>
  <si>
    <t>Procesy na strane občana (časové hodnoty)</t>
  </si>
  <si>
    <t>organizácia A</t>
  </si>
  <si>
    <t>organizácia B</t>
  </si>
  <si>
    <t>organizácia C</t>
  </si>
  <si>
    <t>organizácia ...</t>
  </si>
  <si>
    <t>Kontrola TO BE</t>
  </si>
  <si>
    <t>Počet zamestnancov vybavujúcich agendu</t>
  </si>
  <si>
    <t>Počet podaní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</si>
</sst>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0.0%"/>
    <numFmt numFmtId="166" formatCode="#,##0_ ;\-#,##0;\-;@"/>
    <numFmt numFmtId="167" formatCode="0.00;\-0.00;\-;@"/>
    <numFmt numFmtId="168" formatCode="_-* #,##0.00\ [$€-1]_-;\-* #,##0.00\ [$€-1]_-;_-* &quot;-&quot;??\ [$€-1]_-;_-@_-"/>
  </numFmts>
  <fonts count="79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sz val="11"/>
      <name val="Calibri"/>
      <family val="2"/>
      <charset val="238"/>
      <scheme val="minor"/>
    </font>
    <font>
      <sz val="11"/>
      <name val="Arial Narrow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81"/>
      <name val="Tahoma"/>
      <family val="2"/>
      <charset val="238"/>
    </font>
    <font>
      <sz val="10"/>
      <color indexed="18"/>
      <name val="Arial"/>
      <family val="2"/>
      <charset val="238"/>
    </font>
    <font>
      <sz val="11"/>
      <color theme="1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1"/>
      <color rgb="FF000000"/>
      <name val="Arial Narrow"/>
      <family val="2"/>
      <charset val="238"/>
    </font>
    <font>
      <b/>
      <sz val="11"/>
      <color rgb="FFFF0000"/>
      <name val="Arial Narrow"/>
      <family val="2"/>
      <charset val="238"/>
    </font>
    <font>
      <i/>
      <sz val="11"/>
      <color rgb="FF00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i/>
      <sz val="9"/>
      <color rgb="FF000000"/>
      <name val="Arial Narrow"/>
      <family val="2"/>
      <charset val="238"/>
    </font>
    <font>
      <i/>
      <sz val="8"/>
      <color rgb="FF000000"/>
      <name val="Arial Narrow"/>
      <family val="2"/>
      <charset val="238"/>
    </font>
    <font>
      <b/>
      <sz val="8"/>
      <color rgb="FFFA7D00"/>
      <name val="Calibri"/>
      <family val="2"/>
      <charset val="238"/>
      <scheme val="minor"/>
    </font>
    <font>
      <sz val="9"/>
      <color rgb="FF006100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9"/>
      <color theme="0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9"/>
      <color theme="2" tint="-0.249977111117893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FA7D00"/>
      <name val="Calibri"/>
      <family val="2"/>
      <charset val="238"/>
      <scheme val="minor"/>
    </font>
    <font>
      <sz val="8"/>
      <color rgb="FFFA7D0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  <font>
      <sz val="9"/>
      <color theme="0" tint="-0.499984740745262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11"/>
      <color rgb="FF006100"/>
      <name val="Arial Narrow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6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5" tint="-0.249977111117893"/>
      <name val="Arial"/>
      <family val="2"/>
      <charset val="238"/>
    </font>
    <font>
      <sz val="11"/>
      <color theme="5" tint="-0.24997711111789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11"/>
      <color theme="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color theme="5" tint="-0.249977111117893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sz val="11"/>
      <color theme="5" tint="-0.499984740745262"/>
      <name val="Calibri"/>
      <family val="2"/>
      <charset val="238"/>
      <scheme val="minor"/>
    </font>
    <font>
      <b/>
      <sz val="11"/>
      <color theme="5" tint="-0.499984740745262"/>
      <name val="Calibri"/>
      <family val="2"/>
      <charset val="238"/>
      <scheme val="minor"/>
    </font>
    <font>
      <sz val="9"/>
      <color theme="5" tint="-0.249977111117893"/>
      <name val="Calibri"/>
      <family val="2"/>
      <charset val="238"/>
      <scheme val="minor"/>
    </font>
    <font>
      <b/>
      <sz val="9"/>
      <color theme="5" tint="-0.249977111117893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  <charset val="238"/>
    </font>
    <font>
      <b/>
      <sz val="10"/>
      <color theme="1"/>
      <name val="Arial Narrow"/>
      <family val="2"/>
      <charset val="238"/>
    </font>
    <font>
      <sz val="9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rgb="FF000000"/>
      </patternFill>
    </fill>
  </fills>
  <borders count="187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medium">
        <color indexed="64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/>
      <bottom style="thin">
        <color rgb="FF7F7F7F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/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 style="medium">
        <color indexed="64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theme="2" tint="-0.249977111117893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theme="2" tint="-0.249977111117893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 style="thin">
        <color theme="2" tint="-0.249977111117893"/>
      </right>
      <top style="medium">
        <color indexed="64"/>
      </top>
      <bottom style="thin">
        <color rgb="FFB2B2B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theme="2" tint="-0.249977111117893"/>
      </right>
      <top/>
      <bottom style="thin">
        <color rgb="FFB2B2B2"/>
      </bottom>
      <diagonal/>
    </border>
    <border>
      <left/>
      <right style="medium">
        <color indexed="64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theme="2" tint="-0.249977111117893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auto="1"/>
      </right>
      <top/>
      <bottom style="thin">
        <color theme="2" tint="-0.249977111117893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77111117893"/>
      </bottom>
      <diagonal/>
    </border>
    <border>
      <left style="medium">
        <color indexed="64"/>
      </left>
      <right style="thin">
        <color theme="2" tint="-0.24994659260841701"/>
      </right>
      <top style="medium">
        <color auto="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auto="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auto="1"/>
      </right>
      <top style="medium">
        <color auto="1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auto="1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thin">
        <color theme="2" tint="-0.24994659260841701"/>
      </left>
      <right style="medium">
        <color auto="1"/>
      </right>
      <top style="thin">
        <color theme="2" tint="-0.2499465926084170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/>
      <diagonal/>
    </border>
    <border>
      <left style="thin">
        <color rgb="FFAEAAAA"/>
      </left>
      <right/>
      <top style="thin">
        <color rgb="FFAEAAAA"/>
      </top>
      <bottom style="thin">
        <color rgb="FFAEAAAA"/>
      </bottom>
      <diagonal/>
    </border>
    <border>
      <left style="thin">
        <color rgb="FFAEAAAA"/>
      </left>
      <right/>
      <top/>
      <bottom style="thin">
        <color rgb="FFAEAAAA"/>
      </bottom>
      <diagonal/>
    </border>
  </borders>
  <cellStyleXfs count="8">
    <xf numFmtId="0" fontId="0" fillId="0" borderId="0"/>
    <xf numFmtId="0" fontId="6" fillId="3" borderId="0" applyNumberFormat="0" applyBorder="0" applyAlignment="0" applyProtection="0"/>
    <xf numFmtId="0" fontId="7" fillId="4" borderId="16" applyNumberFormat="0" applyAlignment="0" applyProtection="0"/>
    <xf numFmtId="0" fontId="2" fillId="5" borderId="17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4" fontId="2" fillId="0" borderId="0" applyFont="0" applyFill="0" applyBorder="0" applyAlignment="0" applyProtection="0"/>
  </cellStyleXfs>
  <cellXfs count="814">
    <xf numFmtId="0" fontId="0" fillId="0" borderId="0" xfId="0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justify" vertical="top" wrapText="1"/>
    </xf>
    <xf numFmtId="0" fontId="3" fillId="2" borderId="3" xfId="0" applyFont="1" applyFill="1" applyBorder="1" applyAlignment="1">
      <alignment horizontal="justify" vertical="top" wrapText="1"/>
    </xf>
    <xf numFmtId="0" fontId="4" fillId="0" borderId="0" xfId="0" applyFont="1" applyAlignment="1">
      <alignment vertical="top"/>
    </xf>
    <xf numFmtId="0" fontId="3" fillId="2" borderId="1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0" fontId="4" fillId="6" borderId="14" xfId="0" applyFont="1" applyFill="1" applyBorder="1" applyAlignment="1">
      <alignment horizontal="left" vertical="top" wrapText="1"/>
    </xf>
    <xf numFmtId="0" fontId="4" fillId="6" borderId="24" xfId="0" applyFont="1" applyFill="1" applyBorder="1" applyAlignment="1">
      <alignment horizontal="left" vertical="top" wrapText="1"/>
    </xf>
    <xf numFmtId="0" fontId="9" fillId="6" borderId="15" xfId="0" applyFont="1" applyFill="1" applyBorder="1" applyAlignment="1">
      <alignment horizontal="left" vertical="top" wrapText="1"/>
    </xf>
    <xf numFmtId="0" fontId="10" fillId="6" borderId="31" xfId="0" applyFont="1" applyFill="1" applyBorder="1" applyAlignment="1">
      <alignment horizontal="left" vertical="top" wrapText="1"/>
    </xf>
    <xf numFmtId="0" fontId="0" fillId="6" borderId="32" xfId="0" applyFill="1" applyBorder="1" applyAlignment="1">
      <alignment horizontal="left" vertical="top" wrapText="1"/>
    </xf>
    <xf numFmtId="0" fontId="0" fillId="7" borderId="15" xfId="0" applyFill="1" applyBorder="1" applyAlignment="1">
      <alignment vertical="top" wrapText="1"/>
    </xf>
    <xf numFmtId="0" fontId="0" fillId="7" borderId="26" xfId="0" applyFill="1" applyBorder="1" applyAlignment="1">
      <alignment vertical="top" wrapText="1"/>
    </xf>
    <xf numFmtId="0" fontId="11" fillId="7" borderId="5" xfId="0" applyFont="1" applyFill="1" applyBorder="1" applyAlignment="1">
      <alignment vertical="top" wrapText="1"/>
    </xf>
    <xf numFmtId="0" fontId="9" fillId="7" borderId="0" xfId="0" applyFont="1" applyFill="1" applyAlignment="1">
      <alignment horizontal="center" vertical="top" wrapText="1"/>
    </xf>
    <xf numFmtId="0" fontId="0" fillId="6" borderId="18" xfId="0" applyFill="1" applyBorder="1" applyAlignment="1">
      <alignment horizontal="left" vertical="top" wrapText="1"/>
    </xf>
    <xf numFmtId="0" fontId="9" fillId="7" borderId="0" xfId="0" applyFont="1" applyFill="1" applyAlignment="1">
      <alignment horizontal="left" vertical="top" wrapText="1"/>
    </xf>
    <xf numFmtId="0" fontId="0" fillId="7" borderId="0" xfId="0" applyFill="1" applyAlignment="1">
      <alignment vertical="top" wrapText="1"/>
    </xf>
    <xf numFmtId="0" fontId="0" fillId="7" borderId="25" xfId="0" applyFill="1" applyBorder="1" applyAlignment="1">
      <alignment vertical="top" wrapText="1"/>
    </xf>
    <xf numFmtId="0" fontId="11" fillId="7" borderId="27" xfId="0" applyFont="1" applyFill="1" applyBorder="1" applyAlignment="1">
      <alignment vertical="top" wrapText="1"/>
    </xf>
    <xf numFmtId="0" fontId="0" fillId="7" borderId="24" xfId="0" applyFill="1" applyBorder="1" applyAlignment="1">
      <alignment vertical="top" wrapText="1"/>
    </xf>
    <xf numFmtId="0" fontId="11" fillId="7" borderId="6" xfId="0" applyFont="1" applyFill="1" applyBorder="1" applyAlignment="1">
      <alignment vertical="top" wrapText="1"/>
    </xf>
    <xf numFmtId="0" fontId="0" fillId="0" borderId="6" xfId="0" applyBorder="1" applyAlignment="1">
      <alignment horizontal="left" vertical="top" wrapText="1"/>
    </xf>
    <xf numFmtId="4" fontId="7" fillId="4" borderId="16" xfId="2" applyNumberFormat="1" applyAlignment="1">
      <alignment horizontal="right" vertical="top" wrapText="1"/>
    </xf>
    <xf numFmtId="4" fontId="7" fillId="4" borderId="36" xfId="2" applyNumberFormat="1" applyBorder="1" applyAlignment="1">
      <alignment horizontal="right" vertical="top" wrapText="1"/>
    </xf>
    <xf numFmtId="0" fontId="9" fillId="7" borderId="6" xfId="0" applyFont="1" applyFill="1" applyBorder="1" applyAlignment="1">
      <alignment horizontal="left" vertical="top" wrapText="1"/>
    </xf>
    <xf numFmtId="4" fontId="7" fillId="4" borderId="37" xfId="2" applyNumberFormat="1" applyBorder="1" applyAlignment="1">
      <alignment horizontal="right" vertical="top" wrapText="1"/>
    </xf>
    <xf numFmtId="4" fontId="6" fillId="3" borderId="0" xfId="1" applyNumberFormat="1" applyAlignment="1">
      <alignment horizontal="right" vertical="top" wrapText="1"/>
    </xf>
    <xf numFmtId="0" fontId="7" fillId="4" borderId="16" xfId="2" applyAlignment="1">
      <alignment horizontal="left" vertical="top"/>
    </xf>
    <xf numFmtId="0" fontId="0" fillId="0" borderId="39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4" fontId="7" fillId="4" borderId="42" xfId="2" applyNumberFormat="1" applyBorder="1" applyAlignment="1">
      <alignment horizontal="right" vertical="top" wrapText="1"/>
    </xf>
    <xf numFmtId="4" fontId="7" fillId="4" borderId="45" xfId="2" applyNumberFormat="1" applyBorder="1" applyAlignment="1">
      <alignment horizontal="right" vertical="top" wrapText="1"/>
    </xf>
    <xf numFmtId="0" fontId="15" fillId="0" borderId="0" xfId="0" applyFont="1"/>
    <xf numFmtId="0" fontId="0" fillId="6" borderId="33" xfId="0" applyFill="1" applyBorder="1" applyAlignment="1">
      <alignment horizontal="left" vertical="top" wrapText="1"/>
    </xf>
    <xf numFmtId="0" fontId="0" fillId="6" borderId="6" xfId="0" applyFill="1" applyBorder="1" applyAlignment="1">
      <alignment horizontal="left" vertical="top" wrapText="1"/>
    </xf>
    <xf numFmtId="0" fontId="0" fillId="0" borderId="68" xfId="0" applyBorder="1" applyAlignment="1">
      <alignment horizontal="left" vertical="top" wrapText="1"/>
    </xf>
    <xf numFmtId="0" fontId="9" fillId="7" borderId="67" xfId="0" applyFont="1" applyFill="1" applyBorder="1" applyAlignment="1">
      <alignment horizontal="left" vertical="top" wrapText="1"/>
    </xf>
    <xf numFmtId="0" fontId="0" fillId="7" borderId="29" xfId="0" applyFill="1" applyBorder="1" applyAlignment="1">
      <alignment vertical="top" wrapText="1"/>
    </xf>
    <xf numFmtId="0" fontId="11" fillId="7" borderId="30" xfId="0" applyFont="1" applyFill="1" applyBorder="1" applyAlignment="1">
      <alignment vertical="top" wrapText="1"/>
    </xf>
    <xf numFmtId="4" fontId="7" fillId="4" borderId="69" xfId="2" applyNumberFormat="1" applyBorder="1" applyAlignment="1">
      <alignment horizontal="right" vertical="top" wrapText="1"/>
    </xf>
    <xf numFmtId="4" fontId="7" fillId="4" borderId="70" xfId="2" applyNumberFormat="1" applyBorder="1" applyAlignment="1">
      <alignment horizontal="right" vertical="top" wrapText="1"/>
    </xf>
    <xf numFmtId="4" fontId="7" fillId="4" borderId="71" xfId="2" applyNumberFormat="1" applyBorder="1" applyAlignment="1">
      <alignment horizontal="right" vertical="top" wrapText="1"/>
    </xf>
    <xf numFmtId="4" fontId="7" fillId="4" borderId="72" xfId="2" applyNumberFormat="1" applyBorder="1" applyAlignment="1">
      <alignment horizontal="right" vertical="top" wrapText="1"/>
    </xf>
    <xf numFmtId="4" fontId="7" fillId="4" borderId="74" xfId="2" applyNumberFormat="1" applyBorder="1" applyAlignment="1">
      <alignment horizontal="right" vertical="top" wrapText="1"/>
    </xf>
    <xf numFmtId="0" fontId="0" fillId="0" borderId="73" xfId="0" applyBorder="1" applyAlignment="1">
      <alignment horizontal="left" vertical="top" wrapText="1"/>
    </xf>
    <xf numFmtId="0" fontId="10" fillId="6" borderId="35" xfId="0" applyFont="1" applyFill="1" applyBorder="1" applyAlignment="1">
      <alignment horizontal="left" vertical="top" wrapText="1"/>
    </xf>
    <xf numFmtId="0" fontId="0" fillId="6" borderId="27" xfId="0" applyFill="1" applyBorder="1" applyAlignment="1">
      <alignment horizontal="left" vertical="top" wrapText="1"/>
    </xf>
    <xf numFmtId="4" fontId="7" fillId="4" borderId="75" xfId="2" applyNumberFormat="1" applyBorder="1" applyAlignment="1">
      <alignment horizontal="right" vertical="top" wrapText="1"/>
    </xf>
    <xf numFmtId="4" fontId="7" fillId="4" borderId="76" xfId="2" applyNumberFormat="1" applyBorder="1" applyAlignment="1">
      <alignment horizontal="right" vertical="top" wrapText="1"/>
    </xf>
    <xf numFmtId="4" fontId="7" fillId="4" borderId="77" xfId="2" applyNumberFormat="1" applyBorder="1" applyAlignment="1">
      <alignment horizontal="right" vertical="top" wrapText="1"/>
    </xf>
    <xf numFmtId="0" fontId="0" fillId="6" borderId="8" xfId="0" applyFill="1" applyBorder="1" applyAlignment="1">
      <alignment horizontal="left" vertical="top" wrapText="1"/>
    </xf>
    <xf numFmtId="0" fontId="0" fillId="6" borderId="9" xfId="0" applyFill="1" applyBorder="1" applyAlignment="1">
      <alignment horizontal="left" vertical="top" wrapText="1"/>
    </xf>
    <xf numFmtId="0" fontId="6" fillId="3" borderId="78" xfId="1" applyBorder="1" applyAlignment="1">
      <alignment horizontal="right" vertical="top" wrapText="1"/>
    </xf>
    <xf numFmtId="4" fontId="7" fillId="4" borderId="36" xfId="2" applyNumberFormat="1" applyBorder="1" applyAlignment="1">
      <alignment horizontal="left" vertical="top" wrapText="1"/>
    </xf>
    <xf numFmtId="4" fontId="7" fillId="4" borderId="79" xfId="2" applyNumberFormat="1" applyBorder="1" applyAlignment="1">
      <alignment horizontal="right" vertical="top" wrapText="1"/>
    </xf>
    <xf numFmtId="4" fontId="7" fillId="4" borderId="80" xfId="2" applyNumberFormat="1" applyBorder="1" applyAlignment="1">
      <alignment horizontal="right" vertical="top" wrapText="1"/>
    </xf>
    <xf numFmtId="4" fontId="7" fillId="4" borderId="81" xfId="2" applyNumberFormat="1" applyBorder="1" applyAlignment="1">
      <alignment horizontal="right" vertical="top" wrapText="1"/>
    </xf>
    <xf numFmtId="0" fontId="0" fillId="0" borderId="0" xfId="0" applyAlignment="1">
      <alignment wrapText="1"/>
    </xf>
    <xf numFmtId="0" fontId="9" fillId="0" borderId="0" xfId="0" applyFont="1" applyAlignment="1">
      <alignment horizontal="left" vertical="top" wrapText="1"/>
    </xf>
    <xf numFmtId="0" fontId="9" fillId="0" borderId="28" xfId="0" applyFont="1" applyBorder="1" applyAlignment="1">
      <alignment horizontal="left" vertical="top" wrapText="1"/>
    </xf>
    <xf numFmtId="3" fontId="7" fillId="4" borderId="14" xfId="2" applyNumberFormat="1" applyBorder="1" applyAlignment="1">
      <alignment horizontal="right" vertical="top" wrapText="1"/>
    </xf>
    <xf numFmtId="3" fontId="7" fillId="4" borderId="24" xfId="2" applyNumberFormat="1" applyBorder="1" applyAlignment="1">
      <alignment horizontal="right" vertical="top" wrapText="1"/>
    </xf>
    <xf numFmtId="3" fontId="7" fillId="4" borderId="15" xfId="2" applyNumberFormat="1" applyBorder="1" applyAlignment="1">
      <alignment horizontal="right" vertical="top" wrapText="1"/>
    </xf>
    <xf numFmtId="0" fontId="0" fillId="0" borderId="8" xfId="0" applyBorder="1" applyAlignment="1">
      <alignment horizontal="left" vertical="top" wrapText="1"/>
    </xf>
    <xf numFmtId="0" fontId="0" fillId="0" borderId="7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9" fillId="6" borderId="22" xfId="0" applyFont="1" applyFill="1" applyBorder="1" applyAlignment="1">
      <alignment horizontal="center" vertical="top" wrapText="1"/>
    </xf>
    <xf numFmtId="3" fontId="7" fillId="4" borderId="14" xfId="2" applyNumberFormat="1" applyBorder="1" applyAlignment="1">
      <alignment vertical="top" wrapText="1"/>
    </xf>
    <xf numFmtId="3" fontId="7" fillId="4" borderId="24" xfId="2" applyNumberFormat="1" applyBorder="1" applyAlignment="1">
      <alignment vertical="top" wrapText="1"/>
    </xf>
    <xf numFmtId="3" fontId="7" fillId="4" borderId="15" xfId="2" applyNumberFormat="1" applyBorder="1" applyAlignment="1">
      <alignment vertical="top" wrapText="1"/>
    </xf>
    <xf numFmtId="0" fontId="9" fillId="10" borderId="6" xfId="0" applyFont="1" applyFill="1" applyBorder="1" applyAlignment="1">
      <alignment horizontal="left" vertical="top" wrapText="1"/>
    </xf>
    <xf numFmtId="0" fontId="9" fillId="7" borderId="30" xfId="0" applyFont="1" applyFill="1" applyBorder="1" applyAlignment="1">
      <alignment horizontal="left" vertical="top" wrapText="1"/>
    </xf>
    <xf numFmtId="0" fontId="9" fillId="11" borderId="6" xfId="0" applyFont="1" applyFill="1" applyBorder="1" applyAlignment="1">
      <alignment horizontal="left" vertical="top" wrapText="1"/>
    </xf>
    <xf numFmtId="3" fontId="7" fillId="4" borderId="70" xfId="2" applyNumberFormat="1" applyBorder="1" applyAlignment="1">
      <alignment horizontal="right" vertical="top" wrapText="1"/>
    </xf>
    <xf numFmtId="3" fontId="7" fillId="4" borderId="71" xfId="2" applyNumberFormat="1" applyBorder="1" applyAlignment="1">
      <alignment horizontal="right" vertical="top" wrapText="1"/>
    </xf>
    <xf numFmtId="0" fontId="9" fillId="10" borderId="30" xfId="0" applyFont="1" applyFill="1" applyBorder="1" applyAlignment="1">
      <alignment horizontal="left" vertical="top" wrapText="1"/>
    </xf>
    <xf numFmtId="0" fontId="9" fillId="11" borderId="30" xfId="0" applyFont="1" applyFill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31" fillId="0" borderId="0" xfId="0" applyFont="1"/>
    <xf numFmtId="49" fontId="31" fillId="0" borderId="0" xfId="0" applyNumberFormat="1" applyFont="1"/>
    <xf numFmtId="3" fontId="7" fillId="4" borderId="71" xfId="2" applyNumberFormat="1" applyBorder="1"/>
    <xf numFmtId="0" fontId="29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wrapText="1"/>
    </xf>
    <xf numFmtId="0" fontId="29" fillId="0" borderId="0" xfId="0" applyFont="1"/>
    <xf numFmtId="0" fontId="9" fillId="7" borderId="67" xfId="0" applyFont="1" applyFill="1" applyBorder="1" applyAlignment="1">
      <alignment horizontal="center" vertical="top" wrapText="1"/>
    </xf>
    <xf numFmtId="3" fontId="7" fillId="4" borderId="36" xfId="2" applyNumberFormat="1" applyBorder="1"/>
    <xf numFmtId="3" fontId="7" fillId="4" borderId="86" xfId="2" applyNumberFormat="1" applyBorder="1"/>
    <xf numFmtId="0" fontId="0" fillId="6" borderId="87" xfId="0" applyFill="1" applyBorder="1" applyAlignment="1">
      <alignment horizontal="center" vertical="top" wrapText="1"/>
    </xf>
    <xf numFmtId="3" fontId="7" fillId="4" borderId="80" xfId="2" applyNumberFormat="1" applyBorder="1" applyAlignment="1">
      <alignment horizontal="right"/>
    </xf>
    <xf numFmtId="3" fontId="7" fillId="4" borderId="81" xfId="2" applyNumberFormat="1" applyBorder="1" applyAlignment="1">
      <alignment horizontal="right"/>
    </xf>
    <xf numFmtId="3" fontId="7" fillId="4" borderId="67" xfId="2" applyNumberFormat="1" applyBorder="1"/>
    <xf numFmtId="3" fontId="7" fillId="4" borderId="30" xfId="2" applyNumberFormat="1" applyBorder="1"/>
    <xf numFmtId="3" fontId="7" fillId="4" borderId="88" xfId="2" applyNumberFormat="1" applyBorder="1"/>
    <xf numFmtId="0" fontId="28" fillId="0" borderId="14" xfId="0" applyFont="1" applyBorder="1"/>
    <xf numFmtId="0" fontId="28" fillId="0" borderId="23" xfId="0" applyFont="1" applyBorder="1"/>
    <xf numFmtId="0" fontId="30" fillId="0" borderId="24" xfId="0" applyFont="1" applyBorder="1"/>
    <xf numFmtId="0" fontId="8" fillId="0" borderId="0" xfId="0" applyFont="1"/>
    <xf numFmtId="0" fontId="3" fillId="5" borderId="30" xfId="3" applyFont="1" applyBorder="1" applyAlignment="1">
      <alignment vertical="top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6" borderId="85" xfId="0" applyFill="1" applyBorder="1" applyAlignment="1">
      <alignment horizontal="center" vertical="top" wrapText="1"/>
    </xf>
    <xf numFmtId="0" fontId="0" fillId="6" borderId="58" xfId="0" applyFill="1" applyBorder="1" applyAlignment="1">
      <alignment horizontal="center" vertical="top" wrapText="1"/>
    </xf>
    <xf numFmtId="0" fontId="0" fillId="6" borderId="59" xfId="0" applyFill="1" applyBorder="1" applyAlignment="1">
      <alignment horizontal="center" vertical="top" wrapText="1"/>
    </xf>
    <xf numFmtId="3" fontId="7" fillId="4" borderId="91" xfId="2" applyNumberFormat="1" applyBorder="1"/>
    <xf numFmtId="3" fontId="7" fillId="4" borderId="76" xfId="2" applyNumberFormat="1" applyBorder="1"/>
    <xf numFmtId="3" fontId="7" fillId="4" borderId="43" xfId="2" applyNumberFormat="1" applyBorder="1"/>
    <xf numFmtId="3" fontId="7" fillId="4" borderId="46" xfId="2" applyNumberFormat="1" applyBorder="1"/>
    <xf numFmtId="3" fontId="7" fillId="4" borderId="92" xfId="2" applyNumberFormat="1" applyBorder="1"/>
    <xf numFmtId="3" fontId="14" fillId="5" borderId="82" xfId="3" applyNumberFormat="1" applyFont="1" applyBorder="1" applyAlignment="1">
      <alignment vertical="top" wrapText="1"/>
    </xf>
    <xf numFmtId="3" fontId="14" fillId="5" borderId="53" xfId="3" applyNumberFormat="1" applyFont="1" applyBorder="1" applyAlignment="1">
      <alignment vertical="top" wrapText="1"/>
    </xf>
    <xf numFmtId="3" fontId="14" fillId="5" borderId="41" xfId="3" applyNumberFormat="1" applyFont="1" applyBorder="1" applyAlignment="1">
      <alignment vertical="top" wrapText="1"/>
    </xf>
    <xf numFmtId="3" fontId="14" fillId="5" borderId="17" xfId="3" applyNumberFormat="1" applyFont="1" applyAlignment="1">
      <alignment vertical="top" wrapText="1"/>
    </xf>
    <xf numFmtId="3" fontId="14" fillId="5" borderId="83" xfId="3" applyNumberFormat="1" applyFont="1" applyBorder="1" applyAlignment="1">
      <alignment vertical="top" wrapText="1"/>
    </xf>
    <xf numFmtId="3" fontId="14" fillId="5" borderId="55" xfId="3" applyNumberFormat="1" applyFont="1" applyBorder="1" applyAlignment="1">
      <alignment vertical="top" wrapText="1"/>
    </xf>
    <xf numFmtId="3" fontId="14" fillId="5" borderId="82" xfId="3" applyNumberFormat="1" applyFont="1" applyBorder="1" applyAlignment="1">
      <alignment horizontal="right" vertical="top" wrapText="1"/>
    </xf>
    <xf numFmtId="3" fontId="14" fillId="5" borderId="53" xfId="3" applyNumberFormat="1" applyFont="1" applyBorder="1" applyAlignment="1">
      <alignment horizontal="right" vertical="top" wrapText="1"/>
    </xf>
    <xf numFmtId="3" fontId="14" fillId="5" borderId="41" xfId="3" applyNumberFormat="1" applyFont="1" applyBorder="1" applyAlignment="1">
      <alignment horizontal="right" vertical="top" wrapText="1"/>
    </xf>
    <xf numFmtId="3" fontId="14" fillId="5" borderId="17" xfId="3" applyNumberFormat="1" applyFont="1" applyAlignment="1">
      <alignment horizontal="right" vertical="top" wrapText="1"/>
    </xf>
    <xf numFmtId="3" fontId="14" fillId="5" borderId="83" xfId="3" applyNumberFormat="1" applyFont="1" applyBorder="1" applyAlignment="1">
      <alignment horizontal="right" vertical="top" wrapText="1"/>
    </xf>
    <xf numFmtId="3" fontId="14" fillId="5" borderId="55" xfId="3" applyNumberFormat="1" applyFont="1" applyBorder="1" applyAlignment="1">
      <alignment horizontal="right" vertical="top" wrapText="1"/>
    </xf>
    <xf numFmtId="3" fontId="7" fillId="4" borderId="93" xfId="2" applyNumberFormat="1" applyBorder="1" applyAlignment="1">
      <alignment horizontal="right" vertical="top" wrapText="1"/>
    </xf>
    <xf numFmtId="3" fontId="7" fillId="4" borderId="52" xfId="2" applyNumberFormat="1" applyBorder="1" applyAlignment="1">
      <alignment horizontal="right" vertical="top" wrapText="1"/>
    </xf>
    <xf numFmtId="3" fontId="7" fillId="4" borderId="47" xfId="2" applyNumberFormat="1" applyBorder="1" applyAlignment="1">
      <alignment vertical="top" wrapText="1"/>
    </xf>
    <xf numFmtId="3" fontId="7" fillId="4" borderId="44" xfId="2" applyNumberFormat="1" applyBorder="1" applyAlignment="1">
      <alignment vertical="top" wrapText="1"/>
    </xf>
    <xf numFmtId="3" fontId="7" fillId="4" borderId="94" xfId="2" applyNumberFormat="1" applyBorder="1" applyAlignment="1">
      <alignment vertical="top" wrapText="1"/>
    </xf>
    <xf numFmtId="3" fontId="7" fillId="4" borderId="16" xfId="2" applyNumberFormat="1" applyAlignment="1">
      <alignment vertical="top" wrapText="1"/>
    </xf>
    <xf numFmtId="0" fontId="35" fillId="0" borderId="0" xfId="0" applyFont="1"/>
    <xf numFmtId="0" fontId="35" fillId="0" borderId="0" xfId="0" applyFont="1" applyAlignment="1">
      <alignment horizontal="right"/>
    </xf>
    <xf numFmtId="0" fontId="37" fillId="0" borderId="0" xfId="0" applyFont="1" applyAlignment="1">
      <alignment horizontal="center" vertical="center" wrapText="1"/>
    </xf>
    <xf numFmtId="0" fontId="36" fillId="12" borderId="78" xfId="0" applyFont="1" applyFill="1" applyBorder="1" applyAlignment="1">
      <alignment vertical="top"/>
    </xf>
    <xf numFmtId="0" fontId="36" fillId="12" borderId="0" xfId="0" applyFont="1" applyFill="1" applyAlignment="1">
      <alignment vertical="top"/>
    </xf>
    <xf numFmtId="0" fontId="36" fillId="12" borderId="24" xfId="0" applyFont="1" applyFill="1" applyBorder="1" applyAlignment="1">
      <alignment vertical="top"/>
    </xf>
    <xf numFmtId="0" fontId="36" fillId="12" borderId="6" xfId="0" applyFont="1" applyFill="1" applyBorder="1" applyAlignment="1">
      <alignment vertical="top"/>
    </xf>
    <xf numFmtId="0" fontId="35" fillId="0" borderId="0" xfId="0" applyFont="1" applyAlignment="1">
      <alignment horizontal="left"/>
    </xf>
    <xf numFmtId="0" fontId="40" fillId="14" borderId="29" xfId="0" applyFont="1" applyFill="1" applyBorder="1"/>
    <xf numFmtId="1" fontId="40" fillId="0" borderId="0" xfId="0" applyNumberFormat="1" applyFont="1"/>
    <xf numFmtId="0" fontId="41" fillId="0" borderId="0" xfId="0" applyFont="1"/>
    <xf numFmtId="4" fontId="7" fillId="4" borderId="50" xfId="2" applyNumberFormat="1" applyBorder="1" applyAlignment="1">
      <alignment horizontal="right" vertical="top" wrapText="1"/>
    </xf>
    <xf numFmtId="4" fontId="0" fillId="0" borderId="0" xfId="0" applyNumberFormat="1" applyAlignment="1">
      <alignment horizontal="left" vertical="top" wrapText="1"/>
    </xf>
    <xf numFmtId="0" fontId="2" fillId="6" borderId="56" xfId="0" applyFont="1" applyFill="1" applyBorder="1" applyAlignment="1">
      <alignment horizontal="center" vertical="top" wrapText="1"/>
    </xf>
    <xf numFmtId="0" fontId="2" fillId="6" borderId="85" xfId="0" applyFont="1" applyFill="1" applyBorder="1" applyAlignment="1">
      <alignment horizontal="center" vertical="top" wrapText="1"/>
    </xf>
    <xf numFmtId="0" fontId="2" fillId="6" borderId="58" xfId="0" applyFont="1" applyFill="1" applyBorder="1" applyAlignment="1">
      <alignment horizontal="center" vertical="top" wrapText="1"/>
    </xf>
    <xf numFmtId="0" fontId="2" fillId="6" borderId="59" xfId="0" applyFont="1" applyFill="1" applyBorder="1" applyAlignment="1">
      <alignment horizontal="center" vertical="top" wrapText="1"/>
    </xf>
    <xf numFmtId="0" fontId="2" fillId="0" borderId="38" xfId="0" applyFont="1" applyBorder="1" applyAlignment="1">
      <alignment horizontal="left"/>
    </xf>
    <xf numFmtId="3" fontId="7" fillId="4" borderId="100" xfId="2" applyNumberFormat="1" applyBorder="1"/>
    <xf numFmtId="3" fontId="7" fillId="4" borderId="16" xfId="2" applyNumberFormat="1"/>
    <xf numFmtId="4" fontId="7" fillId="4" borderId="101" xfId="2" applyNumberFormat="1" applyBorder="1" applyAlignment="1">
      <alignment horizontal="right" vertical="top" wrapText="1"/>
    </xf>
    <xf numFmtId="4" fontId="7" fillId="0" borderId="0" xfId="2" applyNumberFormat="1" applyFill="1" applyBorder="1" applyAlignment="1">
      <alignment horizontal="right" vertical="top" wrapText="1"/>
    </xf>
    <xf numFmtId="4" fontId="0" fillId="0" borderId="0" xfId="0" applyNumberFormat="1"/>
    <xf numFmtId="4" fontId="7" fillId="4" borderId="103" xfId="2" applyNumberFormat="1" applyBorder="1" applyAlignment="1">
      <alignment horizontal="right" vertical="top" wrapText="1"/>
    </xf>
    <xf numFmtId="0" fontId="8" fillId="0" borderId="87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6" xfId="0" applyBorder="1"/>
    <xf numFmtId="0" fontId="0" fillId="0" borderId="5" xfId="0" applyBorder="1"/>
    <xf numFmtId="0" fontId="0" fillId="0" borderId="63" xfId="0" applyBorder="1" applyAlignment="1">
      <alignment horizontal="center" vertical="center"/>
    </xf>
    <xf numFmtId="0" fontId="0" fillId="0" borderId="13" xfId="0" applyBorder="1"/>
    <xf numFmtId="4" fontId="7" fillId="4" borderId="116" xfId="2" applyNumberFormat="1" applyBorder="1" applyAlignment="1">
      <alignment horizontal="right" vertical="top" wrapText="1"/>
    </xf>
    <xf numFmtId="4" fontId="7" fillId="4" borderId="115" xfId="2" applyNumberFormat="1" applyBorder="1" applyAlignment="1">
      <alignment horizontal="right" vertical="top" wrapText="1"/>
    </xf>
    <xf numFmtId="2" fontId="35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9" fillId="0" borderId="28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4" fontId="45" fillId="4" borderId="116" xfId="2" applyNumberFormat="1" applyFont="1" applyBorder="1" applyAlignment="1">
      <alignment horizontal="left" vertical="center" wrapText="1"/>
    </xf>
    <xf numFmtId="4" fontId="7" fillId="15" borderId="115" xfId="2" applyNumberFormat="1" applyFill="1" applyBorder="1" applyAlignment="1">
      <alignment horizontal="right" vertical="center" wrapText="1"/>
    </xf>
    <xf numFmtId="165" fontId="44" fillId="15" borderId="115" xfId="4" applyNumberFormat="1" applyFont="1" applyFill="1" applyBorder="1" applyAlignment="1">
      <alignment horizontal="right" vertical="center" wrapText="1"/>
    </xf>
    <xf numFmtId="3" fontId="44" fillId="15" borderId="115" xfId="4" applyNumberFormat="1" applyFont="1" applyFill="1" applyBorder="1" applyAlignment="1">
      <alignment horizontal="right" vertical="center" wrapText="1"/>
    </xf>
    <xf numFmtId="0" fontId="46" fillId="0" borderId="0" xfId="0" applyFont="1" applyAlignment="1">
      <alignment horizontal="right" vertical="center"/>
    </xf>
    <xf numFmtId="4" fontId="47" fillId="9" borderId="115" xfId="2" applyNumberFormat="1" applyFont="1" applyFill="1" applyBorder="1" applyAlignment="1">
      <alignment horizontal="right" vertical="center" wrapText="1"/>
    </xf>
    <xf numFmtId="165" fontId="48" fillId="9" borderId="115" xfId="4" applyNumberFormat="1" applyFont="1" applyFill="1" applyBorder="1" applyAlignment="1">
      <alignment horizontal="right" vertical="center" wrapText="1"/>
    </xf>
    <xf numFmtId="0" fontId="49" fillId="0" borderId="0" xfId="0" applyFont="1" applyAlignment="1">
      <alignment vertical="center"/>
    </xf>
    <xf numFmtId="3" fontId="48" fillId="9" borderId="115" xfId="4" applyNumberFormat="1" applyFont="1" applyFill="1" applyBorder="1" applyAlignment="1">
      <alignment horizontal="right" vertical="center" wrapText="1"/>
    </xf>
    <xf numFmtId="2" fontId="3" fillId="17" borderId="78" xfId="1" applyNumberFormat="1" applyFont="1" applyFill="1" applyBorder="1" applyAlignment="1">
      <alignment vertical="top" wrapText="1"/>
    </xf>
    <xf numFmtId="1" fontId="50" fillId="3" borderId="5" xfId="1" applyNumberFormat="1" applyFont="1" applyBorder="1" applyAlignment="1">
      <alignment horizontal="right" vertical="top" wrapText="1"/>
    </xf>
    <xf numFmtId="0" fontId="32" fillId="0" borderId="0" xfId="0" applyFont="1"/>
    <xf numFmtId="0" fontId="9" fillId="0" borderId="0" xfId="0" applyFont="1" applyAlignment="1">
      <alignment horizontal="center" vertical="top" wrapText="1"/>
    </xf>
    <xf numFmtId="3" fontId="7" fillId="0" borderId="0" xfId="2" applyNumberFormat="1" applyFill="1" applyBorder="1"/>
    <xf numFmtId="0" fontId="8" fillId="0" borderId="59" xfId="0" applyFont="1" applyBorder="1"/>
    <xf numFmtId="0" fontId="8" fillId="0" borderId="118" xfId="0" applyFont="1" applyBorder="1"/>
    <xf numFmtId="0" fontId="0" fillId="0" borderId="119" xfId="0" applyBorder="1" applyAlignment="1">
      <alignment horizontal="left"/>
    </xf>
    <xf numFmtId="0" fontId="9" fillId="7" borderId="30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right"/>
    </xf>
    <xf numFmtId="0" fontId="32" fillId="0" borderId="6" xfId="0" applyFont="1" applyBorder="1"/>
    <xf numFmtId="0" fontId="34" fillId="0" borderId="24" xfId="0" applyFont="1" applyBorder="1"/>
    <xf numFmtId="9" fontId="0" fillId="0" borderId="19" xfId="4" applyFont="1" applyBorder="1" applyAlignment="1">
      <alignment wrapText="1"/>
    </xf>
    <xf numFmtId="4" fontId="0" fillId="0" borderId="20" xfId="0" applyNumberFormat="1" applyBorder="1" applyAlignment="1">
      <alignment wrapText="1"/>
    </xf>
    <xf numFmtId="9" fontId="0" fillId="0" borderId="0" xfId="4" applyFont="1"/>
    <xf numFmtId="4" fontId="0" fillId="0" borderId="20" xfId="0" applyNumberFormat="1" applyBorder="1"/>
    <xf numFmtId="9" fontId="0" fillId="0" borderId="0" xfId="4" applyFont="1" applyAlignment="1">
      <alignment wrapText="1"/>
    </xf>
    <xf numFmtId="2" fontId="0" fillId="0" borderId="20" xfId="0" applyNumberFormat="1" applyBorder="1" applyAlignment="1">
      <alignment wrapText="1"/>
    </xf>
    <xf numFmtId="2" fontId="0" fillId="0" borderId="122" xfId="0" applyNumberFormat="1" applyBorder="1" applyAlignment="1">
      <alignment wrapText="1"/>
    </xf>
    <xf numFmtId="2" fontId="0" fillId="0" borderId="20" xfId="0" applyNumberFormat="1" applyBorder="1"/>
    <xf numFmtId="2" fontId="0" fillId="0" borderId="122" xfId="0" applyNumberFormat="1" applyBorder="1"/>
    <xf numFmtId="9" fontId="8" fillId="10" borderId="19" xfId="4" applyFont="1" applyFill="1" applyBorder="1" applyAlignment="1">
      <alignment wrapText="1"/>
    </xf>
    <xf numFmtId="9" fontId="8" fillId="10" borderId="121" xfId="4" applyFont="1" applyFill="1" applyBorder="1" applyAlignment="1">
      <alignment wrapText="1"/>
    </xf>
    <xf numFmtId="9" fontId="8" fillId="10" borderId="19" xfId="4" applyFont="1" applyFill="1" applyBorder="1"/>
    <xf numFmtId="9" fontId="8" fillId="10" borderId="121" xfId="4" applyFont="1" applyFill="1" applyBorder="1"/>
    <xf numFmtId="0" fontId="8" fillId="10" borderId="0" xfId="0" applyFont="1" applyFill="1" applyAlignment="1">
      <alignment wrapText="1"/>
    </xf>
    <xf numFmtId="4" fontId="8" fillId="10" borderId="0" xfId="0" applyNumberFormat="1" applyFont="1" applyFill="1" applyAlignment="1">
      <alignment wrapText="1"/>
    </xf>
    <xf numFmtId="0" fontId="8" fillId="10" borderId="20" xfId="0" applyFont="1" applyFill="1" applyBorder="1" applyAlignment="1">
      <alignment horizontal="right" wrapText="1"/>
    </xf>
    <xf numFmtId="0" fontId="8" fillId="10" borderId="19" xfId="0" applyFont="1" applyFill="1" applyBorder="1" applyAlignment="1">
      <alignment horizontal="right" wrapText="1"/>
    </xf>
    <xf numFmtId="0" fontId="8" fillId="10" borderId="120" xfId="0" applyFont="1" applyFill="1" applyBorder="1" applyAlignment="1">
      <alignment horizontal="right"/>
    </xf>
    <xf numFmtId="0" fontId="8" fillId="10" borderId="114" xfId="0" applyFont="1" applyFill="1" applyBorder="1" applyAlignment="1">
      <alignment horizontal="right"/>
    </xf>
    <xf numFmtId="4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wrapText="1"/>
    </xf>
    <xf numFmtId="4" fontId="8" fillId="0" borderId="0" xfId="0" applyNumberFormat="1" applyFont="1" applyAlignment="1">
      <alignment wrapText="1"/>
    </xf>
    <xf numFmtId="9" fontId="8" fillId="19" borderId="20" xfId="4" applyFont="1" applyFill="1" applyBorder="1" applyAlignment="1">
      <alignment wrapText="1"/>
    </xf>
    <xf numFmtId="2" fontId="0" fillId="0" borderId="0" xfId="0" applyNumberFormat="1"/>
    <xf numFmtId="9" fontId="8" fillId="19" borderId="21" xfId="4" applyFont="1" applyFill="1" applyBorder="1" applyAlignment="1">
      <alignment wrapText="1"/>
    </xf>
    <xf numFmtId="2" fontId="0" fillId="0" borderId="21" xfId="0" applyNumberFormat="1" applyBorder="1" applyAlignment="1">
      <alignment wrapText="1"/>
    </xf>
    <xf numFmtId="2" fontId="0" fillId="0" borderId="21" xfId="0" applyNumberFormat="1" applyBorder="1"/>
    <xf numFmtId="9" fontId="8" fillId="19" borderId="121" xfId="4" applyFont="1" applyFill="1" applyBorder="1" applyAlignment="1">
      <alignment wrapText="1"/>
    </xf>
    <xf numFmtId="9" fontId="8" fillId="19" borderId="122" xfId="4" applyFont="1" applyFill="1" applyBorder="1" applyAlignment="1">
      <alignment wrapText="1"/>
    </xf>
    <xf numFmtId="9" fontId="8" fillId="19" borderId="114" xfId="4" applyFont="1" applyFill="1" applyBorder="1" applyAlignment="1">
      <alignment wrapText="1"/>
    </xf>
    <xf numFmtId="0" fontId="40" fillId="14" borderId="15" xfId="0" applyFont="1" applyFill="1" applyBorder="1"/>
    <xf numFmtId="0" fontId="0" fillId="17" borderId="58" xfId="0" applyFill="1" applyBorder="1"/>
    <xf numFmtId="0" fontId="0" fillId="17" borderId="22" xfId="0" applyFill="1" applyBorder="1"/>
    <xf numFmtId="0" fontId="0" fillId="17" borderId="84" xfId="0" applyFill="1" applyBorder="1"/>
    <xf numFmtId="0" fontId="0" fillId="17" borderId="112" xfId="0" applyFill="1" applyBorder="1"/>
    <xf numFmtId="0" fontId="38" fillId="17" borderId="133" xfId="0" applyFont="1" applyFill="1" applyBorder="1" applyAlignment="1">
      <alignment vertical="center"/>
    </xf>
    <xf numFmtId="0" fontId="38" fillId="17" borderId="132" xfId="0" applyFont="1" applyFill="1" applyBorder="1" applyAlignment="1">
      <alignment vertical="center"/>
    </xf>
    <xf numFmtId="0" fontId="36" fillId="12" borderId="23" xfId="0" applyFont="1" applyFill="1" applyBorder="1" applyAlignment="1">
      <alignment vertical="center"/>
    </xf>
    <xf numFmtId="0" fontId="36" fillId="12" borderId="8" xfId="0" applyFont="1" applyFill="1" applyBorder="1" applyAlignment="1">
      <alignment vertical="center" wrapText="1"/>
    </xf>
    <xf numFmtId="0" fontId="36" fillId="12" borderId="14" xfId="0" applyFont="1" applyFill="1" applyBorder="1" applyAlignment="1">
      <alignment vertical="center"/>
    </xf>
    <xf numFmtId="0" fontId="36" fillId="12" borderId="13" xfId="0" applyFont="1" applyFill="1" applyBorder="1" applyAlignment="1">
      <alignment vertical="center"/>
    </xf>
    <xf numFmtId="0" fontId="36" fillId="12" borderId="2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5" fillId="0" borderId="128" xfId="0" applyFont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center" wrapText="1"/>
    </xf>
    <xf numFmtId="2" fontId="40" fillId="14" borderId="30" xfId="0" applyNumberFormat="1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top" wrapText="1"/>
    </xf>
    <xf numFmtId="0" fontId="36" fillId="12" borderId="14" xfId="0" applyFont="1" applyFill="1" applyBorder="1" applyAlignment="1">
      <alignment horizontal="center" vertical="center"/>
    </xf>
    <xf numFmtId="0" fontId="36" fillId="12" borderId="23" xfId="0" applyFont="1" applyFill="1" applyBorder="1" applyAlignment="1">
      <alignment horizontal="center" vertical="center"/>
    </xf>
    <xf numFmtId="0" fontId="36" fillId="12" borderId="13" xfId="0" applyFont="1" applyFill="1" applyBorder="1" applyAlignment="1">
      <alignment horizontal="center" vertical="center"/>
    </xf>
    <xf numFmtId="0" fontId="40" fillId="14" borderId="29" xfId="0" applyFont="1" applyFill="1" applyBorder="1" applyAlignment="1">
      <alignment horizontal="center" vertical="center"/>
    </xf>
    <xf numFmtId="0" fontId="35" fillId="17" borderId="128" xfId="0" applyFont="1" applyFill="1" applyBorder="1" applyAlignment="1">
      <alignment horizontal="center" vertical="center"/>
    </xf>
    <xf numFmtId="0" fontId="35" fillId="17" borderId="131" xfId="0" applyFont="1" applyFill="1" applyBorder="1" applyAlignment="1">
      <alignment horizontal="center" vertical="center"/>
    </xf>
    <xf numFmtId="0" fontId="36" fillId="12" borderId="8" xfId="0" applyFont="1" applyFill="1" applyBorder="1" applyAlignment="1">
      <alignment horizontal="left" vertical="center"/>
    </xf>
    <xf numFmtId="0" fontId="36" fillId="12" borderId="23" xfId="0" applyFont="1" applyFill="1" applyBorder="1" applyAlignment="1">
      <alignment horizontal="left" vertical="center"/>
    </xf>
    <xf numFmtId="0" fontId="39" fillId="17" borderId="133" xfId="0" applyFont="1" applyFill="1" applyBorder="1" applyAlignment="1">
      <alignment horizontal="left" vertical="center"/>
    </xf>
    <xf numFmtId="0" fontId="40" fillId="14" borderId="15" xfId="0" applyFont="1" applyFill="1" applyBorder="1" applyAlignment="1">
      <alignment horizontal="left" vertical="center"/>
    </xf>
    <xf numFmtId="3" fontId="7" fillId="4" borderId="141" xfId="2" applyNumberFormat="1" applyBorder="1" applyAlignment="1">
      <alignment horizontal="right" vertical="top" wrapText="1"/>
    </xf>
    <xf numFmtId="3" fontId="14" fillId="5" borderId="98" xfId="3" applyNumberFormat="1" applyFont="1" applyBorder="1" applyAlignment="1">
      <alignment vertical="top" wrapText="1"/>
    </xf>
    <xf numFmtId="3" fontId="14" fillId="5" borderId="142" xfId="3" applyNumberFormat="1" applyFont="1" applyBorder="1" applyAlignment="1">
      <alignment vertical="top" wrapText="1"/>
    </xf>
    <xf numFmtId="3" fontId="14" fillId="5" borderId="143" xfId="3" applyNumberFormat="1" applyFont="1" applyBorder="1" applyAlignment="1">
      <alignment vertical="top" wrapText="1"/>
    </xf>
    <xf numFmtId="0" fontId="0" fillId="0" borderId="0" xfId="0" applyAlignment="1">
      <alignment horizontal="center"/>
    </xf>
    <xf numFmtId="0" fontId="8" fillId="0" borderId="67" xfId="0" applyFont="1" applyBorder="1" applyAlignment="1">
      <alignment horizontal="center" vertical="center" wrapText="1"/>
    </xf>
    <xf numFmtId="0" fontId="33" fillId="0" borderId="147" xfId="0" applyFont="1" applyBorder="1" applyAlignment="1">
      <alignment horizontal="center" wrapText="1"/>
    </xf>
    <xf numFmtId="0" fontId="33" fillId="0" borderId="149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8" fillId="0" borderId="15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44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144" xfId="0" applyBorder="1" applyAlignment="1">
      <alignment horizontal="center" vertical="center" wrapText="1"/>
    </xf>
    <xf numFmtId="0" fontId="0" fillId="0" borderId="145" xfId="0" applyBorder="1" applyAlignment="1">
      <alignment horizontal="center" vertical="center" wrapText="1"/>
    </xf>
    <xf numFmtId="0" fontId="0" fillId="17" borderId="111" xfId="0" applyFill="1" applyBorder="1"/>
    <xf numFmtId="0" fontId="0" fillId="17" borderId="112" xfId="0" applyFill="1" applyBorder="1" applyAlignment="1">
      <alignment horizontal="center"/>
    </xf>
    <xf numFmtId="0" fontId="0" fillId="17" borderId="22" xfId="0" applyFill="1" applyBorder="1" applyAlignment="1">
      <alignment horizontal="center"/>
    </xf>
    <xf numFmtId="0" fontId="0" fillId="17" borderId="111" xfId="0" applyFill="1" applyBorder="1" applyAlignment="1">
      <alignment horizontal="center"/>
    </xf>
    <xf numFmtId="0" fontId="33" fillId="0" borderId="146" xfId="0" applyFont="1" applyBorder="1" applyAlignment="1">
      <alignment horizontal="center" wrapText="1"/>
    </xf>
    <xf numFmtId="0" fontId="0" fillId="17" borderId="122" xfId="0" applyFill="1" applyBorder="1" applyAlignment="1">
      <alignment horizontal="center"/>
    </xf>
    <xf numFmtId="0" fontId="34" fillId="9" borderId="67" xfId="0" applyFont="1" applyFill="1" applyBorder="1" applyAlignment="1">
      <alignment horizontal="left" vertical="top"/>
    </xf>
    <xf numFmtId="0" fontId="0" fillId="17" borderId="150" xfId="0" applyFill="1" applyBorder="1"/>
    <xf numFmtId="0" fontId="0" fillId="17" borderId="144" xfId="0" applyFill="1" applyBorder="1" applyAlignment="1">
      <alignment horizontal="left"/>
    </xf>
    <xf numFmtId="0" fontId="0" fillId="17" borderId="144" xfId="0" applyFill="1" applyBorder="1" applyAlignment="1">
      <alignment horizontal="center"/>
    </xf>
    <xf numFmtId="0" fontId="0" fillId="17" borderId="145" xfId="0" applyFill="1" applyBorder="1"/>
    <xf numFmtId="0" fontId="33" fillId="0" borderId="148" xfId="0" applyFont="1" applyBorder="1" applyAlignment="1">
      <alignment wrapText="1"/>
    </xf>
    <xf numFmtId="0" fontId="0" fillId="17" borderId="121" xfId="0" applyFill="1" applyBorder="1" applyAlignment="1">
      <alignment horizontal="center"/>
    </xf>
    <xf numFmtId="0" fontId="0" fillId="17" borderId="123" xfId="0" applyFill="1" applyBorder="1" applyAlignment="1">
      <alignment horizontal="center"/>
    </xf>
    <xf numFmtId="0" fontId="0" fillId="17" borderId="123" xfId="0" applyFill="1" applyBorder="1"/>
    <xf numFmtId="0" fontId="33" fillId="0" borderId="29" xfId="0" applyFont="1" applyBorder="1" applyAlignment="1">
      <alignment horizontal="center" wrapText="1"/>
    </xf>
    <xf numFmtId="0" fontId="0" fillId="17" borderId="150" xfId="0" applyFill="1" applyBorder="1" applyAlignment="1">
      <alignment horizontal="center"/>
    </xf>
    <xf numFmtId="0" fontId="0" fillId="17" borderId="22" xfId="0" applyFill="1" applyBorder="1" applyAlignment="1">
      <alignment horizontal="center" vertical="top" wrapText="1"/>
    </xf>
    <xf numFmtId="0" fontId="58" fillId="0" borderId="0" xfId="0" applyFont="1"/>
    <xf numFmtId="2" fontId="40" fillId="14" borderId="67" xfId="0" applyNumberFormat="1" applyFont="1" applyFill="1" applyBorder="1" applyAlignment="1">
      <alignment horizontal="center" vertical="center"/>
    </xf>
    <xf numFmtId="2" fontId="40" fillId="14" borderId="29" xfId="0" applyNumberFormat="1" applyFont="1" applyFill="1" applyBorder="1" applyAlignment="1">
      <alignment horizontal="center" vertical="center"/>
    </xf>
    <xf numFmtId="0" fontId="36" fillId="12" borderId="78" xfId="0" applyFont="1" applyFill="1" applyBorder="1" applyAlignment="1">
      <alignment horizontal="center" vertical="top" wrapText="1"/>
    </xf>
    <xf numFmtId="0" fontId="36" fillId="12" borderId="6" xfId="0" applyFont="1" applyFill="1" applyBorder="1" applyAlignment="1">
      <alignment vertical="center"/>
    </xf>
    <xf numFmtId="0" fontId="36" fillId="12" borderId="0" xfId="0" applyFont="1" applyFill="1" applyAlignment="1">
      <alignment vertical="center"/>
    </xf>
    <xf numFmtId="0" fontId="36" fillId="12" borderId="24" xfId="0" applyFont="1" applyFill="1" applyBorder="1" applyAlignment="1">
      <alignment vertical="center"/>
    </xf>
    <xf numFmtId="0" fontId="36" fillId="12" borderId="78" xfId="0" applyFont="1" applyFill="1" applyBorder="1" applyAlignment="1">
      <alignment vertical="center" wrapText="1"/>
    </xf>
    <xf numFmtId="0" fontId="8" fillId="9" borderId="151" xfId="0" applyFont="1" applyFill="1" applyBorder="1"/>
    <xf numFmtId="0" fontId="8" fillId="9" borderId="147" xfId="0" applyFont="1" applyFill="1" applyBorder="1"/>
    <xf numFmtId="0" fontId="8" fillId="9" borderId="149" xfId="0" applyFont="1" applyFill="1" applyBorder="1"/>
    <xf numFmtId="0" fontId="0" fillId="25" borderId="112" xfId="0" applyFill="1" applyBorder="1"/>
    <xf numFmtId="0" fontId="0" fillId="25" borderId="22" xfId="0" applyFill="1" applyBorder="1"/>
    <xf numFmtId="0" fontId="33" fillId="17" borderId="22" xfId="0" applyFont="1" applyFill="1" applyBorder="1"/>
    <xf numFmtId="0" fontId="42" fillId="17" borderId="153" xfId="0" applyFont="1" applyFill="1" applyBorder="1" applyAlignment="1">
      <alignment horizontal="center" vertical="center"/>
    </xf>
    <xf numFmtId="0" fontId="42" fillId="17" borderId="154" xfId="0" applyFont="1" applyFill="1" applyBorder="1" applyAlignment="1">
      <alignment horizontal="center" vertical="center"/>
    </xf>
    <xf numFmtId="0" fontId="42" fillId="17" borderId="155" xfId="0" applyFont="1" applyFill="1" applyBorder="1" applyAlignment="1">
      <alignment horizontal="center" vertical="center"/>
    </xf>
    <xf numFmtId="0" fontId="42" fillId="17" borderId="156" xfId="0" applyFont="1" applyFill="1" applyBorder="1" applyAlignment="1">
      <alignment horizontal="center" vertical="center"/>
    </xf>
    <xf numFmtId="0" fontId="42" fillId="17" borderId="157" xfId="0" applyFont="1" applyFill="1" applyBorder="1" applyAlignment="1">
      <alignment horizontal="center" vertical="center"/>
    </xf>
    <xf numFmtId="0" fontId="42" fillId="17" borderId="158" xfId="0" applyFont="1" applyFill="1" applyBorder="1" applyAlignment="1">
      <alignment horizontal="center" vertical="center"/>
    </xf>
    <xf numFmtId="0" fontId="42" fillId="17" borderId="159" xfId="0" applyFont="1" applyFill="1" applyBorder="1" applyAlignment="1">
      <alignment horizontal="center" vertical="center"/>
    </xf>
    <xf numFmtId="0" fontId="42" fillId="17" borderId="160" xfId="0" applyFont="1" applyFill="1" applyBorder="1" applyAlignment="1">
      <alignment horizontal="center" vertical="center"/>
    </xf>
    <xf numFmtId="0" fontId="42" fillId="17" borderId="161" xfId="0" applyFont="1" applyFill="1" applyBorder="1" applyAlignment="1">
      <alignment horizontal="center" vertical="center"/>
    </xf>
    <xf numFmtId="0" fontId="0" fillId="25" borderId="22" xfId="0" applyFill="1" applyBorder="1" applyAlignment="1">
      <alignment wrapText="1"/>
    </xf>
    <xf numFmtId="0" fontId="61" fillId="21" borderId="112" xfId="6" applyFont="1" applyFill="1" applyBorder="1" applyAlignment="1">
      <alignment vertical="center"/>
    </xf>
    <xf numFmtId="0" fontId="61" fillId="21" borderId="22" xfId="6" applyFont="1" applyFill="1" applyBorder="1" applyAlignment="1">
      <alignment vertical="center"/>
    </xf>
    <xf numFmtId="0" fontId="0" fillId="17" borderId="22" xfId="0" applyFill="1" applyBorder="1" applyAlignment="1">
      <alignment wrapText="1"/>
    </xf>
    <xf numFmtId="0" fontId="8" fillId="0" borderId="58" xfId="0" applyFont="1" applyBorder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0" fontId="8" fillId="19" borderId="123" xfId="0" applyFont="1" applyFill="1" applyBorder="1"/>
    <xf numFmtId="0" fontId="8" fillId="19" borderId="34" xfId="0" applyFont="1" applyFill="1" applyBorder="1"/>
    <xf numFmtId="0" fontId="8" fillId="19" borderId="111" xfId="0" applyFont="1" applyFill="1" applyBorder="1"/>
    <xf numFmtId="164" fontId="8" fillId="19" borderId="22" xfId="5" applyNumberFormat="1" applyFont="1" applyFill="1" applyBorder="1"/>
    <xf numFmtId="164" fontId="8" fillId="19" borderId="123" xfId="5" applyNumberFormat="1" applyFont="1" applyFill="1" applyBorder="1"/>
    <xf numFmtId="0" fontId="8" fillId="0" borderId="123" xfId="0" applyFont="1" applyBorder="1"/>
    <xf numFmtId="0" fontId="8" fillId="22" borderId="34" xfId="0" applyFont="1" applyFill="1" applyBorder="1"/>
    <xf numFmtId="0" fontId="8" fillId="22" borderId="111" xfId="0" applyFont="1" applyFill="1" applyBorder="1"/>
    <xf numFmtId="0" fontId="8" fillId="21" borderId="123" xfId="0" applyFont="1" applyFill="1" applyBorder="1"/>
    <xf numFmtId="0" fontId="8" fillId="21" borderId="34" xfId="0" applyFont="1" applyFill="1" applyBorder="1"/>
    <xf numFmtId="0" fontId="0" fillId="21" borderId="111" xfId="0" applyFill="1" applyBorder="1"/>
    <xf numFmtId="0" fontId="8" fillId="21" borderId="120" xfId="0" applyFont="1" applyFill="1" applyBorder="1"/>
    <xf numFmtId="0" fontId="8" fillId="21" borderId="18" xfId="0" applyFont="1" applyFill="1" applyBorder="1"/>
    <xf numFmtId="0" fontId="0" fillId="21" borderId="114" xfId="0" applyFill="1" applyBorder="1"/>
    <xf numFmtId="4" fontId="14" fillId="5" borderId="41" xfId="3" applyNumberFormat="1" applyFont="1" applyBorder="1" applyAlignment="1" applyProtection="1">
      <alignment horizontal="right" vertical="top" wrapText="1"/>
      <protection locked="0"/>
    </xf>
    <xf numFmtId="4" fontId="14" fillId="5" borderId="17" xfId="3" applyNumberFormat="1" applyFont="1" applyAlignment="1" applyProtection="1">
      <alignment horizontal="right" vertical="top" wrapText="1"/>
      <protection locked="0"/>
    </xf>
    <xf numFmtId="4" fontId="14" fillId="5" borderId="102" xfId="3" applyNumberFormat="1" applyFont="1" applyBorder="1" applyAlignment="1" applyProtection="1">
      <alignment horizontal="right" vertical="top" wrapText="1"/>
      <protection locked="0"/>
    </xf>
    <xf numFmtId="4" fontId="14" fillId="5" borderId="99" xfId="3" applyNumberFormat="1" applyFont="1" applyBorder="1" applyAlignment="1" applyProtection="1">
      <alignment horizontal="right" vertical="top" wrapText="1"/>
      <protection locked="0"/>
    </xf>
    <xf numFmtId="0" fontId="0" fillId="18" borderId="0" xfId="0" applyFill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9" fillId="18" borderId="0" xfId="0" applyFont="1" applyFill="1" applyAlignment="1">
      <alignment horizontal="left" vertical="top" wrapText="1"/>
    </xf>
    <xf numFmtId="0" fontId="9" fillId="18" borderId="15" xfId="0" applyFont="1" applyFill="1" applyBorder="1" applyAlignment="1">
      <alignment horizontal="left" vertical="top" wrapText="1"/>
    </xf>
    <xf numFmtId="0" fontId="9" fillId="18" borderId="26" xfId="0" applyFont="1" applyFill="1" applyBorder="1" applyAlignment="1">
      <alignment horizontal="left" vertical="top" wrapText="1"/>
    </xf>
    <xf numFmtId="0" fontId="9" fillId="18" borderId="5" xfId="0" applyFont="1" applyFill="1" applyBorder="1" applyAlignment="1">
      <alignment horizontal="left" vertical="top" wrapText="1"/>
    </xf>
    <xf numFmtId="0" fontId="9" fillId="18" borderId="0" xfId="0" applyFont="1" applyFill="1" applyAlignment="1">
      <alignment horizontal="center" vertical="top" wrapText="1"/>
    </xf>
    <xf numFmtId="0" fontId="9" fillId="18" borderId="27" xfId="0" applyFont="1" applyFill="1" applyBorder="1" applyAlignment="1">
      <alignment horizontal="center" vertical="top" wrapText="1"/>
    </xf>
    <xf numFmtId="0" fontId="9" fillId="18" borderId="19" xfId="0" applyFont="1" applyFill="1" applyBorder="1" applyAlignment="1">
      <alignment horizontal="center" vertical="top" wrapText="1"/>
    </xf>
    <xf numFmtId="0" fontId="9" fillId="18" borderId="5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166" fontId="0" fillId="0" borderId="14" xfId="5" applyNumberFormat="1" applyFont="1" applyBorder="1" applyAlignment="1">
      <alignment horizontal="center" vertical="center" wrapText="1"/>
    </xf>
    <xf numFmtId="166" fontId="0" fillId="0" borderId="23" xfId="5" applyNumberFormat="1" applyFont="1" applyBorder="1" applyAlignment="1">
      <alignment horizontal="center" vertical="center" wrapText="1"/>
    </xf>
    <xf numFmtId="166" fontId="0" fillId="0" borderId="13" xfId="5" applyNumberFormat="1" applyFont="1" applyBorder="1" applyAlignment="1">
      <alignment horizontal="center" vertical="center" wrapText="1"/>
    </xf>
    <xf numFmtId="166" fontId="14" fillId="5" borderId="82" xfId="5" applyNumberFormat="1" applyFont="1" applyFill="1" applyBorder="1" applyAlignment="1">
      <alignment horizontal="center" vertical="center" wrapText="1"/>
    </xf>
    <xf numFmtId="166" fontId="14" fillId="5" borderId="53" xfId="5" applyNumberFormat="1" applyFont="1" applyFill="1" applyBorder="1" applyAlignment="1">
      <alignment horizontal="center" vertical="center" wrapText="1"/>
    </xf>
    <xf numFmtId="166" fontId="56" fillId="20" borderId="53" xfId="5" applyNumberFormat="1" applyFont="1" applyFill="1" applyBorder="1" applyAlignment="1">
      <alignment horizontal="center" vertical="center" wrapText="1"/>
    </xf>
    <xf numFmtId="166" fontId="14" fillId="5" borderId="98" xfId="5" applyNumberFormat="1" applyFont="1" applyFill="1" applyBorder="1" applyAlignment="1">
      <alignment horizontal="center" vertical="center" wrapText="1"/>
    </xf>
    <xf numFmtId="166" fontId="56" fillId="20" borderId="54" xfId="5" applyNumberFormat="1" applyFont="1" applyFill="1" applyBorder="1" applyAlignment="1">
      <alignment horizontal="center" vertical="center" wrapText="1"/>
    </xf>
    <xf numFmtId="9" fontId="33" fillId="0" borderId="0" xfId="4" applyFont="1" applyAlignment="1">
      <alignment horizontal="left" vertical="top" wrapText="1"/>
    </xf>
    <xf numFmtId="166" fontId="0" fillId="0" borderId="24" xfId="5" applyNumberFormat="1" applyFont="1" applyBorder="1" applyAlignment="1">
      <alignment horizontal="center" vertical="center" wrapText="1"/>
    </xf>
    <xf numFmtId="166" fontId="0" fillId="0" borderId="0" xfId="5" applyNumberFormat="1" applyFont="1" applyAlignment="1">
      <alignment horizontal="center" vertical="center" wrapText="1"/>
    </xf>
    <xf numFmtId="166" fontId="0" fillId="0" borderId="6" xfId="5" applyNumberFormat="1" applyFont="1" applyBorder="1" applyAlignment="1">
      <alignment horizontal="center" vertical="center" wrapText="1"/>
    </xf>
    <xf numFmtId="166" fontId="14" fillId="5" borderId="41" xfId="5" applyNumberFormat="1" applyFont="1" applyFill="1" applyBorder="1" applyAlignment="1">
      <alignment horizontal="center" vertical="center" wrapText="1"/>
    </xf>
    <xf numFmtId="166" fontId="14" fillId="5" borderId="17" xfId="5" applyNumberFormat="1" applyFont="1" applyFill="1" applyBorder="1" applyAlignment="1">
      <alignment horizontal="center" vertical="center" wrapText="1"/>
    </xf>
    <xf numFmtId="166" fontId="56" fillId="20" borderId="17" xfId="5" applyNumberFormat="1" applyFont="1" applyFill="1" applyBorder="1" applyAlignment="1">
      <alignment horizontal="center" vertical="center" wrapText="1"/>
    </xf>
    <xf numFmtId="166" fontId="14" fillId="5" borderId="125" xfId="5" applyNumberFormat="1" applyFont="1" applyFill="1" applyBorder="1" applyAlignment="1">
      <alignment horizontal="center" vertical="center" wrapText="1"/>
    </xf>
    <xf numFmtId="166" fontId="56" fillId="20" borderId="96" xfId="5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top" wrapText="1"/>
    </xf>
    <xf numFmtId="166" fontId="0" fillId="0" borderId="15" xfId="5" applyNumberFormat="1" applyFont="1" applyBorder="1" applyAlignment="1">
      <alignment horizontal="center" vertical="center" wrapText="1"/>
    </xf>
    <xf numFmtId="166" fontId="0" fillId="0" borderId="26" xfId="5" applyNumberFormat="1" applyFont="1" applyBorder="1" applyAlignment="1">
      <alignment horizontal="center" vertical="center" wrapText="1"/>
    </xf>
    <xf numFmtId="166" fontId="0" fillId="0" borderId="5" xfId="5" applyNumberFormat="1" applyFont="1" applyBorder="1" applyAlignment="1">
      <alignment horizontal="center" vertical="center" wrapText="1"/>
    </xf>
    <xf numFmtId="166" fontId="14" fillId="5" borderId="83" xfId="5" applyNumberFormat="1" applyFont="1" applyFill="1" applyBorder="1" applyAlignment="1">
      <alignment horizontal="center" vertical="center" wrapText="1"/>
    </xf>
    <xf numFmtId="166" fontId="14" fillId="5" borderId="55" xfId="5" applyNumberFormat="1" applyFont="1" applyFill="1" applyBorder="1" applyAlignment="1">
      <alignment horizontal="center" vertical="center" wrapText="1"/>
    </xf>
    <xf numFmtId="166" fontId="56" fillId="20" borderId="55" xfId="5" applyNumberFormat="1" applyFont="1" applyFill="1" applyBorder="1" applyAlignment="1">
      <alignment horizontal="center" vertical="center" wrapText="1"/>
    </xf>
    <xf numFmtId="166" fontId="14" fillId="5" borderId="126" xfId="5" applyNumberFormat="1" applyFont="1" applyFill="1" applyBorder="1" applyAlignment="1">
      <alignment horizontal="center" vertical="center" wrapText="1"/>
    </xf>
    <xf numFmtId="166" fontId="56" fillId="20" borderId="97" xfId="5" applyNumberFormat="1" applyFont="1" applyFill="1" applyBorder="1" applyAlignment="1">
      <alignment horizontal="center" vertical="center" wrapText="1"/>
    </xf>
    <xf numFmtId="167" fontId="0" fillId="0" borderId="14" xfId="0" applyNumberFormat="1" applyBorder="1" applyAlignment="1">
      <alignment horizontal="center" vertical="center" wrapText="1"/>
    </xf>
    <xf numFmtId="167" fontId="0" fillId="0" borderId="23" xfId="0" applyNumberFormat="1" applyBorder="1" applyAlignment="1">
      <alignment horizontal="center" vertical="center" wrapText="1"/>
    </xf>
    <xf numFmtId="167" fontId="0" fillId="0" borderId="13" xfId="0" applyNumberFormat="1" applyBorder="1" applyAlignment="1">
      <alignment horizontal="center" vertical="center" wrapText="1"/>
    </xf>
    <xf numFmtId="167" fontId="14" fillId="5" borderId="82" xfId="3" applyNumberFormat="1" applyFont="1" applyBorder="1" applyAlignment="1">
      <alignment horizontal="center" vertical="center" wrapText="1"/>
    </xf>
    <xf numFmtId="167" fontId="14" fillId="5" borderId="53" xfId="3" applyNumberFormat="1" applyFont="1" applyBorder="1" applyAlignment="1">
      <alignment horizontal="center" vertical="center" wrapText="1"/>
    </xf>
    <xf numFmtId="167" fontId="56" fillId="20" borderId="53" xfId="3" applyNumberFormat="1" applyFont="1" applyFill="1" applyBorder="1" applyAlignment="1">
      <alignment horizontal="center" vertical="center" wrapText="1"/>
    </xf>
    <xf numFmtId="167" fontId="14" fillId="5" borderId="127" xfId="3" applyNumberFormat="1" applyFont="1" applyBorder="1" applyAlignment="1">
      <alignment horizontal="center" vertical="center" wrapText="1"/>
    </xf>
    <xf numFmtId="167" fontId="56" fillId="20" borderId="95" xfId="3" applyNumberFormat="1" applyFont="1" applyFill="1" applyBorder="1" applyAlignment="1">
      <alignment horizontal="center" vertical="center" wrapText="1"/>
    </xf>
    <xf numFmtId="167" fontId="0" fillId="0" borderId="24" xfId="0" applyNumberFormat="1" applyBorder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167" fontId="0" fillId="0" borderId="6" xfId="0" applyNumberFormat="1" applyBorder="1" applyAlignment="1">
      <alignment horizontal="center" vertical="center" wrapText="1"/>
    </xf>
    <xf numFmtId="167" fontId="14" fillId="5" borderId="41" xfId="3" applyNumberFormat="1" applyFont="1" applyBorder="1" applyAlignment="1">
      <alignment horizontal="center" vertical="center" wrapText="1"/>
    </xf>
    <xf numFmtId="167" fontId="14" fillId="5" borderId="17" xfId="3" applyNumberFormat="1" applyFont="1" applyAlignment="1">
      <alignment horizontal="center" vertical="center" wrapText="1"/>
    </xf>
    <xf numFmtId="167" fontId="56" fillId="20" borderId="17" xfId="3" applyNumberFormat="1" applyFont="1" applyFill="1" applyAlignment="1">
      <alignment horizontal="center" vertical="center" wrapText="1"/>
    </xf>
    <xf numFmtId="167" fontId="14" fillId="5" borderId="125" xfId="3" applyNumberFormat="1" applyFont="1" applyBorder="1" applyAlignment="1">
      <alignment horizontal="center" vertical="center" wrapText="1"/>
    </xf>
    <xf numFmtId="167" fontId="56" fillId="20" borderId="96" xfId="3" applyNumberFormat="1" applyFont="1" applyFill="1" applyBorder="1" applyAlignment="1">
      <alignment horizontal="center" vertical="center" wrapText="1"/>
    </xf>
    <xf numFmtId="167" fontId="0" fillId="0" borderId="15" xfId="0" applyNumberFormat="1" applyBorder="1" applyAlignment="1">
      <alignment horizontal="center" vertical="center" wrapText="1"/>
    </xf>
    <xf numFmtId="167" fontId="0" fillId="0" borderId="26" xfId="0" applyNumberFormat="1" applyBorder="1" applyAlignment="1">
      <alignment horizontal="center" vertical="center" wrapText="1"/>
    </xf>
    <xf numFmtId="167" fontId="0" fillId="0" borderId="5" xfId="0" applyNumberFormat="1" applyBorder="1" applyAlignment="1">
      <alignment horizontal="center" vertical="center" wrapText="1"/>
    </xf>
    <xf numFmtId="167" fontId="14" fillId="5" borderId="83" xfId="3" applyNumberFormat="1" applyFont="1" applyBorder="1" applyAlignment="1">
      <alignment horizontal="center" vertical="center" wrapText="1"/>
    </xf>
    <xf numFmtId="167" fontId="14" fillId="5" borderId="55" xfId="3" applyNumberFormat="1" applyFont="1" applyBorder="1" applyAlignment="1">
      <alignment horizontal="center" vertical="center" wrapText="1"/>
    </xf>
    <xf numFmtId="167" fontId="56" fillId="20" borderId="55" xfId="3" applyNumberFormat="1" applyFont="1" applyFill="1" applyBorder="1" applyAlignment="1">
      <alignment horizontal="center" vertical="center" wrapText="1"/>
    </xf>
    <xf numFmtId="167" fontId="14" fillId="5" borderId="126" xfId="3" applyNumberFormat="1" applyFont="1" applyBorder="1" applyAlignment="1">
      <alignment horizontal="center" vertical="center" wrapText="1"/>
    </xf>
    <xf numFmtId="167" fontId="56" fillId="20" borderId="97" xfId="3" applyNumberFormat="1" applyFont="1" applyFill="1" applyBorder="1" applyAlignment="1">
      <alignment horizontal="center" vertical="center" wrapText="1"/>
    </xf>
    <xf numFmtId="9" fontId="33" fillId="0" borderId="18" xfId="0" applyNumberFormat="1" applyFont="1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33" fillId="0" borderId="21" xfId="0" applyFont="1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8" fillId="16" borderId="28" xfId="0" applyFont="1" applyFill="1" applyBorder="1" applyAlignment="1">
      <alignment horizontal="left" vertical="top" wrapText="1"/>
    </xf>
    <xf numFmtId="0" fontId="0" fillId="16" borderId="29" xfId="0" applyFill="1" applyBorder="1" applyAlignment="1">
      <alignment horizontal="left" vertical="top" wrapText="1"/>
    </xf>
    <xf numFmtId="0" fontId="0" fillId="16" borderId="30" xfId="0" applyFill="1" applyBorder="1" applyAlignment="1">
      <alignment horizontal="left" vertical="top" wrapText="1"/>
    </xf>
    <xf numFmtId="0" fontId="54" fillId="16" borderId="29" xfId="0" applyFont="1" applyFill="1" applyBorder="1" applyAlignment="1">
      <alignment horizontal="left" vertical="top" wrapText="1"/>
    </xf>
    <xf numFmtId="0" fontId="14" fillId="16" borderId="139" xfId="3" applyFont="1" applyFill="1" applyBorder="1" applyAlignment="1">
      <alignment horizontal="right" vertical="top" wrapText="1"/>
    </xf>
    <xf numFmtId="0" fontId="56" fillId="16" borderId="139" xfId="3" applyFont="1" applyFill="1" applyBorder="1" applyAlignment="1">
      <alignment horizontal="right" vertical="top" wrapText="1"/>
    </xf>
    <xf numFmtId="0" fontId="14" fillId="16" borderId="140" xfId="3" applyFont="1" applyFill="1" applyBorder="1" applyAlignment="1">
      <alignment horizontal="right" vertical="top" wrapText="1"/>
    </xf>
    <xf numFmtId="0" fontId="56" fillId="16" borderId="30" xfId="3" applyFont="1" applyFill="1" applyBorder="1" applyAlignment="1">
      <alignment horizontal="right" vertical="top" wrapText="1"/>
    </xf>
    <xf numFmtId="0" fontId="0" fillId="7" borderId="6" xfId="0" applyFill="1" applyBorder="1" applyAlignment="1">
      <alignment horizontal="left" vertical="top" wrapText="1"/>
    </xf>
    <xf numFmtId="166" fontId="57" fillId="20" borderId="24" xfId="5" applyNumberFormat="1" applyFont="1" applyFill="1" applyBorder="1" applyAlignment="1">
      <alignment horizontal="center" vertical="center" wrapText="1"/>
    </xf>
    <xf numFmtId="166" fontId="57" fillId="20" borderId="0" xfId="5" applyNumberFormat="1" applyFont="1" applyFill="1" applyAlignment="1">
      <alignment horizontal="center" vertical="center" wrapText="1"/>
    </xf>
    <xf numFmtId="166" fontId="57" fillId="20" borderId="6" xfId="5" applyNumberFormat="1" applyFont="1" applyFill="1" applyBorder="1" applyAlignment="1">
      <alignment horizontal="center" vertical="center" wrapText="1"/>
    </xf>
    <xf numFmtId="166" fontId="56" fillId="23" borderId="135" xfId="5" applyNumberFormat="1" applyFont="1" applyFill="1" applyBorder="1" applyAlignment="1">
      <alignment horizontal="center" vertical="center" wrapText="1"/>
    </xf>
    <xf numFmtId="166" fontId="56" fillId="23" borderId="136" xfId="5" applyNumberFormat="1" applyFont="1" applyFill="1" applyBorder="1" applyAlignment="1">
      <alignment horizontal="center" vertical="center" wrapText="1"/>
    </xf>
    <xf numFmtId="166" fontId="56" fillId="20" borderId="136" xfId="5" applyNumberFormat="1" applyFont="1" applyFill="1" applyBorder="1" applyAlignment="1">
      <alignment horizontal="center" vertical="center" wrapText="1"/>
    </xf>
    <xf numFmtId="166" fontId="56" fillId="23" borderId="137" xfId="5" applyNumberFormat="1" applyFont="1" applyFill="1" applyBorder="1" applyAlignment="1">
      <alignment horizontal="center" vertical="center" wrapText="1"/>
    </xf>
    <xf numFmtId="166" fontId="56" fillId="20" borderId="138" xfId="5" applyNumberFormat="1" applyFont="1" applyFill="1" applyBorder="1" applyAlignment="1">
      <alignment horizontal="center" vertical="center" wrapText="1"/>
    </xf>
    <xf numFmtId="9" fontId="33" fillId="0" borderId="24" xfId="0" applyNumberFormat="1" applyFont="1" applyBorder="1" applyAlignment="1">
      <alignment horizontal="left" vertical="top" wrapText="1"/>
    </xf>
    <xf numFmtId="166" fontId="56" fillId="23" borderId="41" xfId="5" applyNumberFormat="1" applyFont="1" applyFill="1" applyBorder="1" applyAlignment="1">
      <alignment horizontal="center" vertical="center" wrapText="1"/>
    </xf>
    <xf numFmtId="166" fontId="56" fillId="23" borderId="17" xfId="5" applyNumberFormat="1" applyFont="1" applyFill="1" applyBorder="1" applyAlignment="1">
      <alignment horizontal="center" vertical="center" wrapText="1"/>
    </xf>
    <xf numFmtId="166" fontId="56" fillId="23" borderId="125" xfId="5" applyNumberFormat="1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left" vertical="top" wrapText="1"/>
    </xf>
    <xf numFmtId="166" fontId="57" fillId="20" borderId="15" xfId="5" applyNumberFormat="1" applyFont="1" applyFill="1" applyBorder="1" applyAlignment="1">
      <alignment horizontal="center" vertical="center" wrapText="1"/>
    </xf>
    <xf numFmtId="166" fontId="57" fillId="20" borderId="26" xfId="5" applyNumberFormat="1" applyFont="1" applyFill="1" applyBorder="1" applyAlignment="1">
      <alignment horizontal="center" vertical="center" wrapText="1"/>
    </xf>
    <xf numFmtId="166" fontId="57" fillId="20" borderId="5" xfId="5" applyNumberFormat="1" applyFont="1" applyFill="1" applyBorder="1" applyAlignment="1">
      <alignment horizontal="center" vertical="center" wrapText="1"/>
    </xf>
    <xf numFmtId="166" fontId="56" fillId="23" borderId="83" xfId="5" applyNumberFormat="1" applyFont="1" applyFill="1" applyBorder="1" applyAlignment="1">
      <alignment horizontal="center" vertical="center" wrapText="1"/>
    </xf>
    <xf numFmtId="166" fontId="56" fillId="23" borderId="55" xfId="5" applyNumberFormat="1" applyFont="1" applyFill="1" applyBorder="1" applyAlignment="1">
      <alignment horizontal="center" vertical="center" wrapText="1"/>
    </xf>
    <xf numFmtId="166" fontId="56" fillId="23" borderId="126" xfId="5" applyNumberFormat="1" applyFont="1" applyFill="1" applyBorder="1" applyAlignment="1">
      <alignment horizontal="center" vertical="center" wrapText="1"/>
    </xf>
    <xf numFmtId="166" fontId="56" fillId="23" borderId="82" xfId="5" applyNumberFormat="1" applyFont="1" applyFill="1" applyBorder="1" applyAlignment="1">
      <alignment horizontal="center" vertical="center" wrapText="1"/>
    </xf>
    <xf numFmtId="166" fontId="56" fillId="23" borderId="53" xfId="5" applyNumberFormat="1" applyFont="1" applyFill="1" applyBorder="1" applyAlignment="1">
      <alignment horizontal="center" vertical="center" wrapText="1"/>
    </xf>
    <xf numFmtId="166" fontId="56" fillId="23" borderId="127" xfId="5" applyNumberFormat="1" applyFont="1" applyFill="1" applyBorder="1" applyAlignment="1">
      <alignment horizontal="center" vertical="center" wrapText="1"/>
    </xf>
    <xf numFmtId="166" fontId="56" fillId="20" borderId="95" xfId="5" applyNumberFormat="1" applyFont="1" applyFill="1" applyBorder="1" applyAlignment="1">
      <alignment horizontal="center" vertical="center" wrapText="1"/>
    </xf>
    <xf numFmtId="167" fontId="57" fillId="20" borderId="24" xfId="5" applyNumberFormat="1" applyFont="1" applyFill="1" applyBorder="1" applyAlignment="1">
      <alignment horizontal="center" vertical="center" wrapText="1"/>
    </xf>
    <xf numFmtId="167" fontId="57" fillId="20" borderId="0" xfId="5" applyNumberFormat="1" applyFont="1" applyFill="1" applyAlignment="1">
      <alignment horizontal="center" vertical="center" wrapText="1"/>
    </xf>
    <xf numFmtId="167" fontId="57" fillId="20" borderId="6" xfId="5" applyNumberFormat="1" applyFont="1" applyFill="1" applyBorder="1" applyAlignment="1">
      <alignment horizontal="center" vertical="center" wrapText="1"/>
    </xf>
    <xf numFmtId="167" fontId="56" fillId="23" borderId="82" xfId="5" applyNumberFormat="1" applyFont="1" applyFill="1" applyBorder="1" applyAlignment="1">
      <alignment horizontal="center" vertical="center" wrapText="1"/>
    </xf>
    <xf numFmtId="167" fontId="56" fillId="23" borderId="53" xfId="5" applyNumberFormat="1" applyFont="1" applyFill="1" applyBorder="1" applyAlignment="1">
      <alignment horizontal="center" vertical="center" wrapText="1"/>
    </xf>
    <xf numFmtId="167" fontId="56" fillId="20" borderId="53" xfId="5" applyNumberFormat="1" applyFont="1" applyFill="1" applyBorder="1" applyAlignment="1">
      <alignment horizontal="center" vertical="center" wrapText="1"/>
    </xf>
    <xf numFmtId="167" fontId="56" fillId="23" borderId="127" xfId="5" applyNumberFormat="1" applyFont="1" applyFill="1" applyBorder="1" applyAlignment="1">
      <alignment horizontal="center" vertical="center" wrapText="1"/>
    </xf>
    <xf numFmtId="167" fontId="56" fillId="20" borderId="95" xfId="5" applyNumberFormat="1" applyFont="1" applyFill="1" applyBorder="1" applyAlignment="1">
      <alignment horizontal="center" vertical="center" wrapText="1"/>
    </xf>
    <xf numFmtId="167" fontId="56" fillId="23" borderId="41" xfId="5" applyNumberFormat="1" applyFont="1" applyFill="1" applyBorder="1" applyAlignment="1">
      <alignment horizontal="center" vertical="center" wrapText="1"/>
    </xf>
    <xf numFmtId="167" fontId="56" fillId="23" borderId="17" xfId="5" applyNumberFormat="1" applyFont="1" applyFill="1" applyBorder="1" applyAlignment="1">
      <alignment horizontal="center" vertical="center" wrapText="1"/>
    </xf>
    <xf numFmtId="167" fontId="56" fillId="20" borderId="17" xfId="5" applyNumberFormat="1" applyFont="1" applyFill="1" applyBorder="1" applyAlignment="1">
      <alignment horizontal="center" vertical="center" wrapText="1"/>
    </xf>
    <xf numFmtId="167" fontId="56" fillId="23" borderId="125" xfId="5" applyNumberFormat="1" applyFont="1" applyFill="1" applyBorder="1" applyAlignment="1">
      <alignment horizontal="center" vertical="center" wrapText="1"/>
    </xf>
    <xf numFmtId="167" fontId="56" fillId="20" borderId="96" xfId="5" applyNumberFormat="1" applyFont="1" applyFill="1" applyBorder="1" applyAlignment="1">
      <alignment horizontal="center" vertical="center" wrapText="1"/>
    </xf>
    <xf numFmtId="167" fontId="57" fillId="20" borderId="15" xfId="5" applyNumberFormat="1" applyFont="1" applyFill="1" applyBorder="1" applyAlignment="1">
      <alignment horizontal="center" vertical="center" wrapText="1"/>
    </xf>
    <xf numFmtId="167" fontId="57" fillId="20" borderId="26" xfId="5" applyNumberFormat="1" applyFont="1" applyFill="1" applyBorder="1" applyAlignment="1">
      <alignment horizontal="center" vertical="center" wrapText="1"/>
    </xf>
    <xf numFmtId="167" fontId="57" fillId="20" borderId="5" xfId="5" applyNumberFormat="1" applyFont="1" applyFill="1" applyBorder="1" applyAlignment="1">
      <alignment horizontal="center" vertical="center" wrapText="1"/>
    </xf>
    <xf numFmtId="167" fontId="56" fillId="23" borderId="83" xfId="5" applyNumberFormat="1" applyFont="1" applyFill="1" applyBorder="1" applyAlignment="1">
      <alignment horizontal="center" vertical="center" wrapText="1"/>
    </xf>
    <xf numFmtId="167" fontId="56" fillId="23" borderId="55" xfId="5" applyNumberFormat="1" applyFont="1" applyFill="1" applyBorder="1" applyAlignment="1">
      <alignment horizontal="center" vertical="center" wrapText="1"/>
    </xf>
    <xf numFmtId="167" fontId="56" fillId="20" borderId="55" xfId="5" applyNumberFormat="1" applyFont="1" applyFill="1" applyBorder="1" applyAlignment="1">
      <alignment horizontal="center" vertical="center" wrapText="1"/>
    </xf>
    <xf numFmtId="167" fontId="56" fillId="23" borderId="126" xfId="5" applyNumberFormat="1" applyFont="1" applyFill="1" applyBorder="1" applyAlignment="1">
      <alignment horizontal="center" vertical="center" wrapText="1"/>
    </xf>
    <xf numFmtId="167" fontId="56" fillId="20" borderId="97" xfId="5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6" xfId="0" applyBorder="1" applyAlignment="1">
      <alignment horizontal="left"/>
    </xf>
    <xf numFmtId="3" fontId="7" fillId="4" borderId="78" xfId="2" applyNumberFormat="1" applyBorder="1" applyAlignment="1">
      <alignment horizontal="right"/>
    </xf>
    <xf numFmtId="0" fontId="35" fillId="17" borderId="162" xfId="0" applyFont="1" applyFill="1" applyBorder="1" applyAlignment="1">
      <alignment horizontal="center" vertical="center"/>
    </xf>
    <xf numFmtId="0" fontId="35" fillId="0" borderId="162" xfId="0" applyFont="1" applyBorder="1" applyAlignment="1">
      <alignment horizontal="center" vertical="center"/>
    </xf>
    <xf numFmtId="0" fontId="35" fillId="0" borderId="129" xfId="0" applyFont="1" applyBorder="1" applyAlignment="1">
      <alignment horizontal="center" vertical="center"/>
    </xf>
    <xf numFmtId="3" fontId="7" fillId="4" borderId="91" xfId="2" applyNumberFormat="1" applyBorder="1" applyProtection="1">
      <protection locked="0"/>
    </xf>
    <xf numFmtId="3" fontId="7" fillId="4" borderId="36" xfId="2" applyNumberFormat="1" applyBorder="1" applyProtection="1">
      <protection locked="0"/>
    </xf>
    <xf numFmtId="3" fontId="7" fillId="4" borderId="76" xfId="2" applyNumberFormat="1" applyBorder="1" applyProtection="1">
      <protection locked="0"/>
    </xf>
    <xf numFmtId="0" fontId="5" fillId="26" borderId="5" xfId="0" applyFont="1" applyFill="1" applyBorder="1" applyAlignment="1">
      <alignment horizontal="justify" vertical="top" wrapText="1"/>
    </xf>
    <xf numFmtId="0" fontId="5" fillId="26" borderId="5" xfId="0" applyFont="1" applyFill="1" applyBorder="1" applyAlignment="1">
      <alignment horizontal="center" vertical="top" wrapText="1"/>
    </xf>
    <xf numFmtId="0" fontId="5" fillId="26" borderId="6" xfId="0" applyFont="1" applyFill="1" applyBorder="1" applyAlignment="1">
      <alignment horizontal="justify" vertical="top" wrapText="1"/>
    </xf>
    <xf numFmtId="0" fontId="5" fillId="26" borderId="24" xfId="0" applyFont="1" applyFill="1" applyBorder="1" applyAlignment="1">
      <alignment horizontal="left" vertical="top" wrapText="1"/>
    </xf>
    <xf numFmtId="0" fontId="5" fillId="26" borderId="67" xfId="0" applyFont="1" applyFill="1" applyBorder="1" applyAlignment="1">
      <alignment horizontal="justify" vertical="top" wrapText="1"/>
    </xf>
    <xf numFmtId="0" fontId="5" fillId="26" borderId="6" xfId="0" applyFont="1" applyFill="1" applyBorder="1" applyAlignment="1">
      <alignment horizontal="center" vertical="top" wrapText="1"/>
    </xf>
    <xf numFmtId="0" fontId="5" fillId="26" borderId="67" xfId="0" applyFont="1" applyFill="1" applyBorder="1" applyAlignment="1">
      <alignment horizontal="left" vertical="top" wrapText="1"/>
    </xf>
    <xf numFmtId="0" fontId="5" fillId="26" borderId="67" xfId="0" applyFont="1" applyFill="1" applyBorder="1" applyAlignment="1">
      <alignment horizontal="center" vertical="top" wrapText="1"/>
    </xf>
    <xf numFmtId="2" fontId="3" fillId="17" borderId="6" xfId="1" applyNumberFormat="1" applyFont="1" applyFill="1" applyBorder="1" applyAlignment="1">
      <alignment vertical="top" wrapText="1"/>
    </xf>
    <xf numFmtId="2" fontId="3" fillId="17" borderId="67" xfId="1" applyNumberFormat="1" applyFont="1" applyFill="1" applyBorder="1" applyAlignment="1">
      <alignment vertical="top" wrapText="1"/>
    </xf>
    <xf numFmtId="0" fontId="26" fillId="0" borderId="0" xfId="0" applyFont="1" applyAlignment="1">
      <alignment vertical="center"/>
    </xf>
    <xf numFmtId="164" fontId="8" fillId="19" borderId="144" xfId="5" applyNumberFormat="1" applyFont="1" applyFill="1" applyBorder="1"/>
    <xf numFmtId="0" fontId="55" fillId="0" borderId="0" xfId="0" applyFont="1"/>
    <xf numFmtId="0" fontId="0" fillId="0" borderId="123" xfId="0" applyBorder="1"/>
    <xf numFmtId="0" fontId="0" fillId="0" borderId="34" xfId="0" applyBorder="1"/>
    <xf numFmtId="44" fontId="39" fillId="17" borderId="163" xfId="7" applyFont="1" applyFill="1" applyBorder="1" applyAlignment="1">
      <alignment horizontal="left" vertical="center"/>
    </xf>
    <xf numFmtId="0" fontId="39" fillId="17" borderId="164" xfId="0" applyFont="1" applyFill="1" applyBorder="1" applyAlignment="1">
      <alignment horizontal="left" vertical="center"/>
    </xf>
    <xf numFmtId="44" fontId="39" fillId="17" borderId="166" xfId="7" applyFont="1" applyFill="1" applyBorder="1" applyAlignment="1">
      <alignment horizontal="left" vertical="center"/>
    </xf>
    <xf numFmtId="0" fontId="36" fillId="12" borderId="67" xfId="0" applyFont="1" applyFill="1" applyBorder="1" applyAlignment="1">
      <alignment horizontal="left" vertical="center"/>
    </xf>
    <xf numFmtId="0" fontId="39" fillId="17" borderId="164" xfId="0" applyFont="1" applyFill="1" applyBorder="1" applyAlignment="1">
      <alignment horizontal="center" vertical="center"/>
    </xf>
    <xf numFmtId="0" fontId="39" fillId="17" borderId="133" xfId="0" applyFont="1" applyFill="1" applyBorder="1" applyAlignment="1">
      <alignment horizontal="center" vertical="center"/>
    </xf>
    <xf numFmtId="44" fontId="56" fillId="20" borderId="165" xfId="7" applyFont="1" applyFill="1" applyBorder="1" applyAlignment="1">
      <alignment horizontal="center" vertical="center" wrapText="1"/>
    </xf>
    <xf numFmtId="0" fontId="36" fillId="12" borderId="67" xfId="0" applyFont="1" applyFill="1" applyBorder="1" applyAlignment="1">
      <alignment horizontal="center" vertical="center"/>
    </xf>
    <xf numFmtId="44" fontId="39" fillId="17" borderId="164" xfId="7" applyFont="1" applyFill="1" applyBorder="1" applyAlignment="1">
      <alignment horizontal="center" vertical="center"/>
    </xf>
    <xf numFmtId="44" fontId="39" fillId="17" borderId="133" xfId="7" applyFont="1" applyFill="1" applyBorder="1" applyAlignment="1">
      <alignment horizontal="center" vertical="center"/>
    </xf>
    <xf numFmtId="164" fontId="62" fillId="19" borderId="22" xfId="5" applyNumberFormat="1" applyFont="1" applyFill="1" applyBorder="1"/>
    <xf numFmtId="164" fontId="62" fillId="19" borderId="123" xfId="5" applyNumberFormat="1" applyFont="1" applyFill="1" applyBorder="1"/>
    <xf numFmtId="164" fontId="62" fillId="19" borderId="144" xfId="5" applyNumberFormat="1" applyFont="1" applyFill="1" applyBorder="1"/>
    <xf numFmtId="164" fontId="57" fillId="22" borderId="22" xfId="5" applyNumberFormat="1" applyFont="1" applyFill="1" applyBorder="1"/>
    <xf numFmtId="164" fontId="57" fillId="22" borderId="123" xfId="5" applyNumberFormat="1" applyFont="1" applyFill="1" applyBorder="1"/>
    <xf numFmtId="164" fontId="57" fillId="22" borderId="144" xfId="5" applyNumberFormat="1" applyFont="1" applyFill="1" applyBorder="1"/>
    <xf numFmtId="164" fontId="63" fillId="21" borderId="22" xfId="5" applyNumberFormat="1" applyFont="1" applyFill="1" applyBorder="1"/>
    <xf numFmtId="164" fontId="63" fillId="21" borderId="123" xfId="5" applyNumberFormat="1" applyFont="1" applyFill="1" applyBorder="1"/>
    <xf numFmtId="164" fontId="63" fillId="21" borderId="144" xfId="5" applyNumberFormat="1" applyFont="1" applyFill="1" applyBorder="1"/>
    <xf numFmtId="164" fontId="63" fillId="21" borderId="22" xfId="5" applyNumberFormat="1" applyFont="1" applyFill="1" applyBorder="1" applyAlignment="1">
      <alignment horizontal="center"/>
    </xf>
    <xf numFmtId="164" fontId="63" fillId="21" borderId="123" xfId="5" applyNumberFormat="1" applyFont="1" applyFill="1" applyBorder="1" applyAlignment="1">
      <alignment horizontal="center"/>
    </xf>
    <xf numFmtId="164" fontId="63" fillId="21" borderId="144" xfId="5" applyNumberFormat="1" applyFont="1" applyFill="1" applyBorder="1" applyAlignment="1">
      <alignment horizontal="center"/>
    </xf>
    <xf numFmtId="164" fontId="63" fillId="21" borderId="84" xfId="5" applyNumberFormat="1" applyFont="1" applyFill="1" applyBorder="1"/>
    <xf numFmtId="164" fontId="63" fillId="21" borderId="120" xfId="5" applyNumberFormat="1" applyFont="1" applyFill="1" applyBorder="1"/>
    <xf numFmtId="164" fontId="63" fillId="21" borderId="152" xfId="5" applyNumberFormat="1" applyFont="1" applyFill="1" applyBorder="1"/>
    <xf numFmtId="164" fontId="63" fillId="21" borderId="145" xfId="5" applyNumberFormat="1" applyFont="1" applyFill="1" applyBorder="1"/>
    <xf numFmtId="0" fontId="67" fillId="13" borderId="6" xfId="0" applyFont="1" applyFill="1" applyBorder="1" applyAlignment="1">
      <alignment horizontal="center" vertical="center"/>
    </xf>
    <xf numFmtId="3" fontId="68" fillId="14" borderId="28" xfId="0" applyNumberFormat="1" applyFont="1" applyFill="1" applyBorder="1" applyAlignment="1">
      <alignment horizontal="center" vertical="center"/>
    </xf>
    <xf numFmtId="3" fontId="68" fillId="14" borderId="30" xfId="0" applyNumberFormat="1" applyFont="1" applyFill="1" applyBorder="1" applyAlignment="1">
      <alignment horizontal="center" vertical="center"/>
    </xf>
    <xf numFmtId="3" fontId="67" fillId="22" borderId="24" xfId="0" applyNumberFormat="1" applyFont="1" applyFill="1" applyBorder="1" applyAlignment="1">
      <alignment horizontal="center" vertical="center"/>
    </xf>
    <xf numFmtId="3" fontId="67" fillId="22" borderId="6" xfId="0" applyNumberFormat="1" applyFont="1" applyFill="1" applyBorder="1" applyAlignment="1">
      <alignment horizontal="center" vertical="center"/>
    </xf>
    <xf numFmtId="0" fontId="67" fillId="22" borderId="129" xfId="0" applyFont="1" applyFill="1" applyBorder="1" applyAlignment="1">
      <alignment horizontal="center" vertical="center"/>
    </xf>
    <xf numFmtId="0" fontId="67" fillId="22" borderId="128" xfId="0" applyFont="1" applyFill="1" applyBorder="1" applyAlignment="1">
      <alignment horizontal="center" vertical="center"/>
    </xf>
    <xf numFmtId="0" fontId="35" fillId="17" borderId="24" xfId="0" applyFont="1" applyFill="1" applyBorder="1" applyAlignment="1">
      <alignment horizontal="center" vertical="center"/>
    </xf>
    <xf numFmtId="0" fontId="35" fillId="17" borderId="129" xfId="0" applyFont="1" applyFill="1" applyBorder="1" applyAlignment="1">
      <alignment horizontal="center" vertical="center"/>
    </xf>
    <xf numFmtId="0" fontId="35" fillId="17" borderId="130" xfId="0" applyFont="1" applyFill="1" applyBorder="1" applyAlignment="1">
      <alignment horizontal="center" vertical="center"/>
    </xf>
    <xf numFmtId="0" fontId="35" fillId="17" borderId="89" xfId="3" applyFont="1" applyFill="1" applyBorder="1" applyAlignment="1">
      <alignment horizontal="center"/>
    </xf>
    <xf numFmtId="0" fontId="35" fillId="17" borderId="134" xfId="3" applyFont="1" applyFill="1" applyBorder="1" applyAlignment="1">
      <alignment horizontal="center"/>
    </xf>
    <xf numFmtId="0" fontId="35" fillId="17" borderId="90" xfId="3" applyFont="1" applyFill="1" applyBorder="1" applyAlignment="1">
      <alignment horizontal="center"/>
    </xf>
    <xf numFmtId="0" fontId="64" fillId="22" borderId="63" xfId="0" applyFont="1" applyFill="1" applyBorder="1" applyAlignment="1">
      <alignment horizontal="center" vertical="center"/>
    </xf>
    <xf numFmtId="0" fontId="64" fillId="22" borderId="62" xfId="0" applyFont="1" applyFill="1" applyBorder="1" applyAlignment="1">
      <alignment horizontal="center" vertical="center"/>
    </xf>
    <xf numFmtId="0" fontId="57" fillId="22" borderId="117" xfId="0" applyFont="1" applyFill="1" applyBorder="1"/>
    <xf numFmtId="0" fontId="57" fillId="22" borderId="58" xfId="0" applyFont="1" applyFill="1" applyBorder="1"/>
    <xf numFmtId="0" fontId="57" fillId="22" borderId="22" xfId="0" applyFont="1" applyFill="1" applyBorder="1"/>
    <xf numFmtId="0" fontId="57" fillId="22" borderId="111" xfId="0" applyFont="1" applyFill="1" applyBorder="1"/>
    <xf numFmtId="0" fontId="57" fillId="22" borderId="84" xfId="0" applyFont="1" applyFill="1" applyBorder="1"/>
    <xf numFmtId="0" fontId="57" fillId="22" borderId="114" xfId="0" applyFont="1" applyFill="1" applyBorder="1"/>
    <xf numFmtId="0" fontId="57" fillId="22" borderId="113" xfId="0" applyFont="1" applyFill="1" applyBorder="1"/>
    <xf numFmtId="4" fontId="66" fillId="24" borderId="51" xfId="2" applyNumberFormat="1" applyFont="1" applyFill="1" applyBorder="1" applyAlignment="1">
      <alignment horizontal="right" vertical="top" wrapText="1"/>
    </xf>
    <xf numFmtId="4" fontId="66" fillId="24" borderId="42" xfId="2" applyNumberFormat="1" applyFont="1" applyFill="1" applyBorder="1" applyAlignment="1">
      <alignment horizontal="right" vertical="top" wrapText="1"/>
    </xf>
    <xf numFmtId="4" fontId="66" fillId="24" borderId="52" xfId="2" applyNumberFormat="1" applyFont="1" applyFill="1" applyBorder="1" applyAlignment="1">
      <alignment horizontal="right" vertical="top" wrapText="1"/>
    </xf>
    <xf numFmtId="4" fontId="66" fillId="24" borderId="104" xfId="2" applyNumberFormat="1" applyFont="1" applyFill="1" applyBorder="1" applyAlignment="1">
      <alignment horizontal="right" vertical="top" wrapText="1"/>
    </xf>
    <xf numFmtId="4" fontId="66" fillId="24" borderId="93" xfId="2" applyNumberFormat="1" applyFont="1" applyFill="1" applyBorder="1" applyAlignment="1">
      <alignment horizontal="right" vertical="top" wrapText="1"/>
    </xf>
    <xf numFmtId="4" fontId="66" fillId="24" borderId="107" xfId="2" applyNumberFormat="1" applyFont="1" applyFill="1" applyBorder="1" applyAlignment="1">
      <alignment horizontal="right" vertical="top" wrapText="1"/>
    </xf>
    <xf numFmtId="4" fontId="66" fillId="24" borderId="105" xfId="2" applyNumberFormat="1" applyFont="1" applyFill="1" applyBorder="1" applyAlignment="1">
      <alignment horizontal="right" vertical="top" wrapText="1"/>
    </xf>
    <xf numFmtId="4" fontId="66" fillId="24" borderId="46" xfId="2" applyNumberFormat="1" applyFont="1" applyFill="1" applyBorder="1" applyAlignment="1">
      <alignment horizontal="right" vertical="top" wrapText="1"/>
    </xf>
    <xf numFmtId="4" fontId="66" fillId="24" borderId="45" xfId="2" applyNumberFormat="1" applyFont="1" applyFill="1" applyBorder="1" applyAlignment="1">
      <alignment horizontal="right" vertical="top" wrapText="1"/>
    </xf>
    <xf numFmtId="4" fontId="65" fillId="24" borderId="26" xfId="1" applyNumberFormat="1" applyFont="1" applyFill="1" applyBorder="1" applyAlignment="1">
      <alignment horizontal="right" vertical="top" wrapText="1"/>
    </xf>
    <xf numFmtId="4" fontId="66" fillId="24" borderId="44" xfId="2" applyNumberFormat="1" applyFont="1" applyFill="1" applyBorder="1" applyAlignment="1">
      <alignment horizontal="right" vertical="top" wrapText="1"/>
    </xf>
    <xf numFmtId="4" fontId="66" fillId="24" borderId="106" xfId="2" applyNumberFormat="1" applyFont="1" applyFill="1" applyBorder="1" applyAlignment="1">
      <alignment horizontal="right" vertical="top" wrapText="1"/>
    </xf>
    <xf numFmtId="4" fontId="66" fillId="24" borderId="43" xfId="2" applyNumberFormat="1" applyFont="1" applyFill="1" applyBorder="1" applyAlignment="1">
      <alignment horizontal="right" vertical="top" wrapText="1"/>
    </xf>
    <xf numFmtId="0" fontId="66" fillId="24" borderId="68" xfId="0" applyFont="1" applyFill="1" applyBorder="1" applyAlignment="1">
      <alignment horizontal="left" vertical="top" wrapText="1"/>
    </xf>
    <xf numFmtId="164" fontId="66" fillId="24" borderId="108" xfId="5" applyNumberFormat="1" applyFont="1" applyFill="1" applyBorder="1" applyAlignment="1">
      <alignment horizontal="right" vertical="top" wrapText="1"/>
    </xf>
    <xf numFmtId="164" fontId="66" fillId="24" borderId="109" xfId="5" applyNumberFormat="1" applyFont="1" applyFill="1" applyBorder="1" applyAlignment="1">
      <alignment horizontal="right" vertical="top" wrapText="1"/>
    </xf>
    <xf numFmtId="164" fontId="66" fillId="24" borderId="110" xfId="5" applyNumberFormat="1" applyFont="1" applyFill="1" applyBorder="1" applyAlignment="1">
      <alignment horizontal="right" vertical="top" wrapText="1"/>
    </xf>
    <xf numFmtId="164" fontId="66" fillId="24" borderId="47" xfId="5" applyNumberFormat="1" applyFont="1" applyFill="1" applyBorder="1" applyAlignment="1">
      <alignment horizontal="right" vertical="top" wrapText="1"/>
    </xf>
    <xf numFmtId="164" fontId="66" fillId="24" borderId="48" xfId="5" applyNumberFormat="1" applyFont="1" applyFill="1" applyBorder="1" applyAlignment="1">
      <alignment horizontal="right" vertical="top" wrapText="1"/>
    </xf>
    <xf numFmtId="164" fontId="66" fillId="24" borderId="49" xfId="5" applyNumberFormat="1" applyFont="1" applyFill="1" applyBorder="1" applyAlignment="1">
      <alignment horizontal="right" vertical="top" wrapText="1"/>
    </xf>
    <xf numFmtId="0" fontId="40" fillId="14" borderId="26" xfId="0" applyFont="1" applyFill="1" applyBorder="1"/>
    <xf numFmtId="0" fontId="67" fillId="13" borderId="5" xfId="0" applyFont="1" applyFill="1" applyBorder="1" applyAlignment="1">
      <alignment horizontal="center" vertical="center"/>
    </xf>
    <xf numFmtId="0" fontId="42" fillId="17" borderId="167" xfId="0" applyFont="1" applyFill="1" applyBorder="1" applyAlignment="1">
      <alignment horizontal="center" vertical="center"/>
    </xf>
    <xf numFmtId="0" fontId="42" fillId="17" borderId="168" xfId="0" applyFont="1" applyFill="1" applyBorder="1" applyAlignment="1">
      <alignment horizontal="center" vertical="center"/>
    </xf>
    <xf numFmtId="0" fontId="42" fillId="17" borderId="169" xfId="0" applyFont="1" applyFill="1" applyBorder="1" applyAlignment="1">
      <alignment horizontal="center" vertical="center"/>
    </xf>
    <xf numFmtId="0" fontId="42" fillId="17" borderId="170" xfId="0" applyFont="1" applyFill="1" applyBorder="1" applyAlignment="1">
      <alignment horizontal="center" vertical="center"/>
    </xf>
    <xf numFmtId="0" fontId="42" fillId="17" borderId="171" xfId="0" applyFont="1" applyFill="1" applyBorder="1" applyAlignment="1">
      <alignment horizontal="center" vertical="center"/>
    </xf>
    <xf numFmtId="0" fontId="42" fillId="17" borderId="172" xfId="0" applyFont="1" applyFill="1" applyBorder="1" applyAlignment="1">
      <alignment horizontal="center" vertical="center"/>
    </xf>
    <xf numFmtId="0" fontId="42" fillId="17" borderId="173" xfId="0" applyFont="1" applyFill="1" applyBorder="1" applyAlignment="1">
      <alignment horizontal="center" vertical="center"/>
    </xf>
    <xf numFmtId="0" fontId="42" fillId="17" borderId="174" xfId="0" applyFont="1" applyFill="1" applyBorder="1" applyAlignment="1">
      <alignment horizontal="center" vertical="center"/>
    </xf>
    <xf numFmtId="0" fontId="42" fillId="17" borderId="175" xfId="0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123" xfId="0" applyFont="1" applyBorder="1" applyAlignment="1">
      <alignment horizontal="center" vertical="center"/>
    </xf>
    <xf numFmtId="0" fontId="8" fillId="0" borderId="87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164" fontId="63" fillId="0" borderId="120" xfId="5" applyNumberFormat="1" applyFont="1" applyBorder="1"/>
    <xf numFmtId="164" fontId="63" fillId="0" borderId="18" xfId="5" applyNumberFormat="1" applyFont="1" applyBorder="1"/>
    <xf numFmtId="164" fontId="57" fillId="22" borderId="22" xfId="5" applyNumberFormat="1" applyFont="1" applyFill="1" applyBorder="1" applyAlignment="1">
      <alignment horizontal="center"/>
    </xf>
    <xf numFmtId="164" fontId="63" fillId="21" borderId="84" xfId="5" applyNumberFormat="1" applyFont="1" applyFill="1" applyBorder="1" applyAlignment="1">
      <alignment horizontal="center"/>
    </xf>
    <xf numFmtId="164" fontId="62" fillId="19" borderId="22" xfId="5" applyNumberFormat="1" applyFont="1" applyFill="1" applyBorder="1" applyAlignment="1">
      <alignment horizontal="center"/>
    </xf>
    <xf numFmtId="164" fontId="63" fillId="22" borderId="22" xfId="5" applyNumberFormat="1" applyFont="1" applyFill="1" applyBorder="1"/>
    <xf numFmtId="164" fontId="63" fillId="22" borderId="123" xfId="5" applyNumberFormat="1" applyFont="1" applyFill="1" applyBorder="1"/>
    <xf numFmtId="164" fontId="33" fillId="0" borderId="18" xfId="5" applyNumberFormat="1" applyFont="1" applyBorder="1"/>
    <xf numFmtId="164" fontId="33" fillId="0" borderId="23" xfId="5" applyNumberFormat="1" applyFont="1" applyBorder="1"/>
    <xf numFmtId="0" fontId="36" fillId="12" borderId="0" xfId="0" applyFont="1" applyFill="1" applyAlignment="1">
      <alignment vertical="center" wrapText="1"/>
    </xf>
    <xf numFmtId="0" fontId="0" fillId="0" borderId="0" xfId="0" applyAlignment="1">
      <alignment horizontal="left" vertical="top" wrapText="1"/>
    </xf>
    <xf numFmtId="166" fontId="0" fillId="0" borderId="0" xfId="5" applyNumberFormat="1" applyFont="1" applyBorder="1" applyAlignment="1">
      <alignment horizontal="center" vertical="center" wrapText="1"/>
    </xf>
    <xf numFmtId="0" fontId="9" fillId="18" borderId="6" xfId="0" applyFont="1" applyFill="1" applyBorder="1" applyAlignment="1">
      <alignment horizontal="center" vertical="top" wrapText="1"/>
    </xf>
    <xf numFmtId="3" fontId="14" fillId="5" borderId="135" xfId="3" applyNumberFormat="1" applyFont="1" applyBorder="1" applyAlignment="1">
      <alignment horizontal="right" vertical="top" wrapText="1"/>
    </xf>
    <xf numFmtId="0" fontId="27" fillId="11" borderId="0" xfId="0" applyFont="1" applyFill="1" applyAlignment="1"/>
    <xf numFmtId="0" fontId="27" fillId="0" borderId="0" xfId="0" applyFont="1" applyFill="1" applyAlignment="1"/>
    <xf numFmtId="3" fontId="0" fillId="0" borderId="0" xfId="0" applyNumberFormat="1"/>
    <xf numFmtId="2" fontId="14" fillId="5" borderId="53" xfId="3" applyNumberFormat="1" applyFont="1" applyBorder="1" applyAlignment="1">
      <alignment horizontal="center" vertical="center" wrapText="1"/>
    </xf>
    <xf numFmtId="2" fontId="14" fillId="5" borderId="127" xfId="3" applyNumberFormat="1" applyFont="1" applyBorder="1" applyAlignment="1">
      <alignment horizontal="center" vertical="center" wrapText="1"/>
    </xf>
    <xf numFmtId="2" fontId="14" fillId="5" borderId="17" xfId="3" applyNumberFormat="1" applyFont="1" applyAlignment="1">
      <alignment horizontal="center" vertical="center" wrapText="1"/>
    </xf>
    <xf numFmtId="2" fontId="14" fillId="5" borderId="125" xfId="3" applyNumberFormat="1" applyFont="1" applyBorder="1" applyAlignment="1">
      <alignment horizontal="center" vertical="center" wrapText="1"/>
    </xf>
    <xf numFmtId="2" fontId="14" fillId="5" borderId="55" xfId="3" applyNumberFormat="1" applyFont="1" applyBorder="1" applyAlignment="1">
      <alignment horizontal="center" vertical="center" wrapText="1"/>
    </xf>
    <xf numFmtId="2" fontId="14" fillId="5" borderId="126" xfId="3" applyNumberFormat="1" applyFont="1" applyBorder="1" applyAlignment="1">
      <alignment horizontal="center" vertical="center" wrapText="1"/>
    </xf>
    <xf numFmtId="1" fontId="14" fillId="5" borderId="82" xfId="5" applyNumberFormat="1" applyFont="1" applyFill="1" applyBorder="1" applyAlignment="1">
      <alignment horizontal="center" vertical="center" wrapText="1"/>
    </xf>
    <xf numFmtId="1" fontId="14" fillId="5" borderId="98" xfId="5" applyNumberFormat="1" applyFont="1" applyFill="1" applyBorder="1" applyAlignment="1">
      <alignment horizontal="center" vertical="center" wrapText="1"/>
    </xf>
    <xf numFmtId="1" fontId="14" fillId="5" borderId="41" xfId="5" applyNumberFormat="1" applyFont="1" applyFill="1" applyBorder="1" applyAlignment="1">
      <alignment horizontal="center" vertical="center" wrapText="1"/>
    </xf>
    <xf numFmtId="1" fontId="14" fillId="5" borderId="125" xfId="5" applyNumberFormat="1" applyFont="1" applyFill="1" applyBorder="1" applyAlignment="1">
      <alignment horizontal="center" vertical="center" wrapText="1"/>
    </xf>
    <xf numFmtId="1" fontId="14" fillId="5" borderId="83" xfId="5" applyNumberFormat="1" applyFont="1" applyFill="1" applyBorder="1" applyAlignment="1">
      <alignment horizontal="center" vertical="center" wrapText="1"/>
    </xf>
    <xf numFmtId="1" fontId="14" fillId="5" borderId="126" xfId="5" applyNumberFormat="1" applyFont="1" applyFill="1" applyBorder="1" applyAlignment="1">
      <alignment horizontal="center" vertical="center" wrapText="1"/>
    </xf>
    <xf numFmtId="0" fontId="69" fillId="27" borderId="133" xfId="0" applyFont="1" applyFill="1" applyBorder="1" applyAlignment="1">
      <alignment horizontal="left" vertical="center"/>
    </xf>
    <xf numFmtId="0" fontId="35" fillId="27" borderId="0" xfId="0" applyFont="1" applyFill="1"/>
    <xf numFmtId="3" fontId="67" fillId="27" borderId="24" xfId="0" applyNumberFormat="1" applyFont="1" applyFill="1" applyBorder="1" applyAlignment="1">
      <alignment horizontal="center" vertical="center"/>
    </xf>
    <xf numFmtId="3" fontId="67" fillId="27" borderId="6" xfId="0" applyNumberFormat="1" applyFont="1" applyFill="1" applyBorder="1" applyAlignment="1">
      <alignment horizontal="center" vertical="center"/>
    </xf>
    <xf numFmtId="0" fontId="67" fillId="27" borderId="24" xfId="0" applyFont="1" applyFill="1" applyBorder="1" applyAlignment="1">
      <alignment horizontal="center" vertical="center"/>
    </xf>
    <xf numFmtId="0" fontId="70" fillId="0" borderId="0" xfId="0" applyFont="1"/>
    <xf numFmtId="0" fontId="71" fillId="19" borderId="0" xfId="0" applyFont="1" applyFill="1" applyAlignment="1">
      <alignment horizontal="left"/>
    </xf>
    <xf numFmtId="0" fontId="71" fillId="19" borderId="0" xfId="0" applyFont="1" applyFill="1"/>
    <xf numFmtId="0" fontId="70" fillId="0" borderId="0" xfId="0" applyFont="1" applyAlignment="1">
      <alignment horizontal="center"/>
    </xf>
    <xf numFmtId="0" fontId="71" fillId="0" borderId="0" xfId="0" applyFont="1" applyFill="1" applyAlignment="1">
      <alignment horizontal="left"/>
    </xf>
    <xf numFmtId="0" fontId="70" fillId="0" borderId="0" xfId="0" applyFont="1" applyFill="1"/>
    <xf numFmtId="0" fontId="30" fillId="11" borderId="85" xfId="0" applyFont="1" applyFill="1" applyBorder="1"/>
    <xf numFmtId="0" fontId="30" fillId="11" borderId="58" xfId="0" applyFont="1" applyFill="1" applyBorder="1"/>
    <xf numFmtId="0" fontId="30" fillId="11" borderId="178" xfId="0" applyFont="1" applyFill="1" applyBorder="1"/>
    <xf numFmtId="0" fontId="30" fillId="11" borderId="22" xfId="0" applyFont="1" applyFill="1" applyBorder="1"/>
    <xf numFmtId="0" fontId="30" fillId="11" borderId="123" xfId="0" applyFont="1" applyFill="1" applyBorder="1" applyAlignment="1">
      <alignment horizontal="center"/>
    </xf>
    <xf numFmtId="0" fontId="30" fillId="11" borderId="34" xfId="0" applyFont="1" applyFill="1" applyBorder="1" applyAlignment="1">
      <alignment horizontal="center"/>
    </xf>
    <xf numFmtId="0" fontId="30" fillId="11" borderId="111" xfId="0" applyFont="1" applyFill="1" applyBorder="1" applyAlignment="1">
      <alignment horizontal="center"/>
    </xf>
    <xf numFmtId="0" fontId="32" fillId="29" borderId="180" xfId="0" applyFont="1" applyFill="1" applyBorder="1" applyAlignment="1"/>
    <xf numFmtId="168" fontId="31" fillId="0" borderId="84" xfId="0" applyNumberFormat="1" applyFont="1" applyBorder="1" applyAlignment="1"/>
    <xf numFmtId="168" fontId="73" fillId="0" borderId="39" xfId="0" applyNumberFormat="1" applyFont="1" applyBorder="1"/>
    <xf numFmtId="0" fontId="32" fillId="29" borderId="85" xfId="0" applyFont="1" applyFill="1" applyBorder="1" applyAlignment="1">
      <alignment wrapText="1"/>
    </xf>
    <xf numFmtId="168" fontId="31" fillId="0" borderId="58" xfId="0" applyNumberFormat="1" applyFont="1" applyBorder="1" applyAlignment="1"/>
    <xf numFmtId="0" fontId="32" fillId="29" borderId="181" xfId="0" applyFont="1" applyFill="1" applyBorder="1" applyAlignment="1"/>
    <xf numFmtId="168" fontId="31" fillId="0" borderId="63" xfId="0" applyNumberFormat="1" applyFont="1" applyBorder="1" applyAlignment="1"/>
    <xf numFmtId="0" fontId="32" fillId="29" borderId="182" xfId="0" applyFont="1" applyFill="1" applyBorder="1" applyAlignment="1"/>
    <xf numFmtId="0" fontId="31" fillId="0" borderId="112" xfId="0" applyFont="1" applyBorder="1" applyAlignment="1"/>
    <xf numFmtId="0" fontId="31" fillId="0" borderId="112" xfId="0" applyFont="1" applyBorder="1"/>
    <xf numFmtId="0" fontId="0" fillId="0" borderId="112" xfId="0" applyFont="1" applyBorder="1"/>
    <xf numFmtId="0" fontId="0" fillId="0" borderId="179" xfId="0" applyBorder="1"/>
    <xf numFmtId="0" fontId="32" fillId="29" borderId="178" xfId="0" applyFont="1" applyFill="1" applyBorder="1" applyAlignment="1"/>
    <xf numFmtId="0" fontId="31" fillId="0" borderId="22" xfId="0" applyFont="1" applyBorder="1" applyAlignment="1"/>
    <xf numFmtId="0" fontId="0" fillId="0" borderId="22" xfId="0" applyFont="1" applyBorder="1"/>
    <xf numFmtId="0" fontId="31" fillId="0" borderId="63" xfId="0" applyFont="1" applyBorder="1" applyAlignment="1"/>
    <xf numFmtId="0" fontId="0" fillId="0" borderId="63" xfId="0" applyFont="1" applyBorder="1"/>
    <xf numFmtId="0" fontId="0" fillId="0" borderId="183" xfId="0" applyBorder="1"/>
    <xf numFmtId="0" fontId="37" fillId="0" borderId="24" xfId="0" applyFont="1" applyBorder="1" applyAlignment="1">
      <alignment horizontal="left" vertical="center"/>
    </xf>
    <xf numFmtId="0" fontId="35" fillId="0" borderId="24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168" fontId="0" fillId="0" borderId="0" xfId="0" applyNumberFormat="1"/>
    <xf numFmtId="0" fontId="75" fillId="17" borderId="133" xfId="0" applyFont="1" applyFill="1" applyBorder="1" applyAlignment="1">
      <alignment horizontal="left" vertical="center"/>
    </xf>
    <xf numFmtId="0" fontId="42" fillId="2" borderId="0" xfId="0" applyFont="1" applyFill="1" applyAlignment="1">
      <alignment horizontal="center" vertical="center"/>
    </xf>
    <xf numFmtId="0" fontId="42" fillId="2" borderId="6" xfId="0" applyFont="1" applyFill="1" applyBorder="1" applyAlignment="1">
      <alignment horizontal="center" vertical="center"/>
    </xf>
    <xf numFmtId="3" fontId="35" fillId="0" borderId="0" xfId="0" applyNumberFormat="1" applyFont="1" applyAlignment="1">
      <alignment horizontal="right"/>
    </xf>
    <xf numFmtId="0" fontId="39" fillId="17" borderId="133" xfId="0" applyFont="1" applyFill="1" applyBorder="1" applyAlignment="1">
      <alignment horizontal="left" vertical="center" wrapText="1"/>
    </xf>
    <xf numFmtId="0" fontId="0" fillId="18" borderId="6" xfId="0" applyFill="1" applyBorder="1" applyAlignment="1">
      <alignment horizontal="center" vertical="top" wrapText="1"/>
    </xf>
    <xf numFmtId="0" fontId="0" fillId="18" borderId="24" xfId="0" applyFill="1" applyBorder="1" applyAlignment="1">
      <alignment horizontal="center" vertical="top" wrapText="1"/>
    </xf>
    <xf numFmtId="0" fontId="0" fillId="18" borderId="0" xfId="0" applyFill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31" fillId="0" borderId="0" xfId="0" applyFont="1" applyAlignment="1">
      <alignment horizontal="center"/>
    </xf>
    <xf numFmtId="0" fontId="36" fillId="12" borderId="8" xfId="0" applyFont="1" applyFill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/>
    </xf>
    <xf numFmtId="0" fontId="36" fillId="12" borderId="14" xfId="0" applyFont="1" applyFill="1" applyBorder="1" applyAlignment="1">
      <alignment horizontal="center" vertical="center" wrapText="1"/>
    </xf>
    <xf numFmtId="0" fontId="36" fillId="12" borderId="23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center" wrapText="1"/>
    </xf>
    <xf numFmtId="0" fontId="5" fillId="26" borderId="4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top"/>
    </xf>
    <xf numFmtId="0" fontId="39" fillId="17" borderId="184" xfId="0" applyFont="1" applyFill="1" applyBorder="1" applyAlignment="1">
      <alignment vertical="center"/>
    </xf>
    <xf numFmtId="0" fontId="76" fillId="30" borderId="185" xfId="0" applyFont="1" applyFill="1" applyBorder="1" applyAlignment="1">
      <alignment horizontal="center" vertical="center"/>
    </xf>
    <xf numFmtId="0" fontId="38" fillId="27" borderId="133" xfId="0" applyFont="1" applyFill="1" applyBorder="1" applyAlignment="1">
      <alignment horizontal="left" vertical="center"/>
    </xf>
    <xf numFmtId="0" fontId="76" fillId="30" borderId="186" xfId="0" applyFont="1" applyFill="1" applyBorder="1" applyAlignment="1">
      <alignment horizontal="center" vertical="center"/>
    </xf>
    <xf numFmtId="0" fontId="67" fillId="22" borderId="24" xfId="0" applyFont="1" applyFill="1" applyBorder="1" applyAlignment="1">
      <alignment horizontal="center" vertical="center"/>
    </xf>
    <xf numFmtId="0" fontId="67" fillId="22" borderId="0" xfId="0" applyFont="1" applyFill="1" applyBorder="1" applyAlignment="1">
      <alignment horizontal="center" vertical="center"/>
    </xf>
    <xf numFmtId="0" fontId="35" fillId="17" borderId="0" xfId="0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5" borderId="53" xfId="3" applyFont="1" applyBorder="1" applyAlignment="1">
      <alignment horizontal="center" vertical="center" wrapText="1"/>
    </xf>
    <xf numFmtId="0" fontId="22" fillId="5" borderId="55" xfId="3" applyFont="1" applyBorder="1" applyAlignment="1">
      <alignment horizontal="center" vertical="center" wrapText="1"/>
    </xf>
    <xf numFmtId="0" fontId="24" fillId="3" borderId="65" xfId="1" applyFont="1" applyBorder="1" applyAlignment="1">
      <alignment horizontal="center" vertical="center" wrapText="1"/>
    </xf>
    <xf numFmtId="0" fontId="24" fillId="3" borderId="66" xfId="1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17" fillId="8" borderId="60" xfId="0" applyFont="1" applyFill="1" applyBorder="1" applyAlignment="1">
      <alignment horizontal="right" vertical="center" wrapText="1"/>
    </xf>
    <xf numFmtId="0" fontId="17" fillId="8" borderId="34" xfId="0" applyFont="1" applyFill="1" applyBorder="1" applyAlignment="1">
      <alignment horizontal="right" vertical="center" wrapText="1"/>
    </xf>
    <xf numFmtId="0" fontId="19" fillId="17" borderId="22" xfId="0" applyFont="1" applyFill="1" applyBorder="1" applyAlignment="1">
      <alignment horizontal="left" vertical="center" wrapText="1"/>
    </xf>
    <xf numFmtId="0" fontId="19" fillId="17" borderId="38" xfId="0" applyFont="1" applyFill="1" applyBorder="1" applyAlignment="1">
      <alignment horizontal="left" vertical="center" wrapText="1"/>
    </xf>
    <xf numFmtId="0" fontId="17" fillId="8" borderId="61" xfId="0" applyFont="1" applyFill="1" applyBorder="1" applyAlignment="1">
      <alignment horizontal="right" vertical="center" wrapText="1"/>
    </xf>
    <xf numFmtId="0" fontId="17" fillId="8" borderId="62" xfId="0" applyFont="1" applyFill="1" applyBorder="1" applyAlignment="1">
      <alignment horizontal="right" vertical="center" wrapText="1"/>
    </xf>
    <xf numFmtId="0" fontId="19" fillId="17" borderId="63" xfId="0" applyFont="1" applyFill="1" applyBorder="1" applyAlignment="1">
      <alignment horizontal="left" vertical="center"/>
    </xf>
    <xf numFmtId="0" fontId="19" fillId="17" borderId="64" xfId="0" applyFont="1" applyFill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21" fillId="8" borderId="14" xfId="0" applyFont="1" applyFill="1" applyBorder="1" applyAlignment="1">
      <alignment horizontal="center" vertical="center" wrapText="1"/>
    </xf>
    <xf numFmtId="0" fontId="21" fillId="8" borderId="13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21" fillId="8" borderId="5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3" fillId="4" borderId="52" xfId="2" applyFont="1" applyBorder="1" applyAlignment="1">
      <alignment horizontal="center" vertical="center" wrapText="1"/>
    </xf>
    <xf numFmtId="0" fontId="23" fillId="4" borderId="44" xfId="2" applyFont="1" applyBorder="1" applyAlignment="1">
      <alignment horizontal="center" vertical="center" wrapText="1"/>
    </xf>
    <xf numFmtId="0" fontId="17" fillId="17" borderId="22" xfId="0" applyFont="1" applyFill="1" applyBorder="1" applyAlignment="1">
      <alignment horizontal="center" vertical="center" wrapText="1"/>
    </xf>
    <xf numFmtId="0" fontId="17" fillId="17" borderId="3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17" fillId="8" borderId="56" xfId="0" applyFont="1" applyFill="1" applyBorder="1" applyAlignment="1">
      <alignment horizontal="right" vertical="center" wrapText="1"/>
    </xf>
    <xf numFmtId="0" fontId="17" fillId="8" borderId="57" xfId="0" applyFont="1" applyFill="1" applyBorder="1" applyAlignment="1">
      <alignment horizontal="right" vertical="center" wrapText="1"/>
    </xf>
    <xf numFmtId="0" fontId="18" fillId="17" borderId="58" xfId="0" applyFont="1" applyFill="1" applyBorder="1" applyAlignment="1">
      <alignment horizontal="center" vertical="center" wrapText="1"/>
    </xf>
    <xf numFmtId="0" fontId="18" fillId="17" borderId="59" xfId="0" applyFont="1" applyFill="1" applyBorder="1" applyAlignment="1">
      <alignment horizontal="center" vertical="center" wrapText="1"/>
    </xf>
    <xf numFmtId="0" fontId="34" fillId="19" borderId="21" xfId="0" applyFont="1" applyFill="1" applyBorder="1" applyAlignment="1">
      <alignment horizontal="center" vertical="center"/>
    </xf>
    <xf numFmtId="0" fontId="8" fillId="0" borderId="12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11" xfId="0" applyFont="1" applyBorder="1" applyAlignment="1">
      <alignment horizontal="center"/>
    </xf>
    <xf numFmtId="0" fontId="0" fillId="6" borderId="25" xfId="0" applyFill="1" applyBorder="1" applyAlignment="1">
      <alignment horizontal="center" vertical="top" wrapText="1"/>
    </xf>
    <xf numFmtId="0" fontId="0" fillId="6" borderId="5" xfId="0" applyFill="1" applyBorder="1" applyAlignment="1">
      <alignment horizontal="center" vertical="top" wrapText="1"/>
    </xf>
    <xf numFmtId="0" fontId="9" fillId="6" borderId="28" xfId="0" applyFont="1" applyFill="1" applyBorder="1" applyAlignment="1">
      <alignment horizontal="center" vertical="top" wrapText="1"/>
    </xf>
    <xf numFmtId="0" fontId="9" fillId="6" borderId="29" xfId="0" applyFont="1" applyFill="1" applyBorder="1" applyAlignment="1">
      <alignment horizontal="center" vertical="top" wrapText="1"/>
    </xf>
    <xf numFmtId="0" fontId="9" fillId="6" borderId="30" xfId="0" applyFont="1" applyFill="1" applyBorder="1" applyAlignment="1">
      <alignment horizontal="center" vertical="top" wrapText="1"/>
    </xf>
    <xf numFmtId="0" fontId="9" fillId="6" borderId="14" xfId="0" applyFont="1" applyFill="1" applyBorder="1" applyAlignment="1">
      <alignment horizontal="center" vertical="top" wrapText="1"/>
    </xf>
    <xf numFmtId="0" fontId="9" fillId="6" borderId="23" xfId="0" applyFont="1" applyFill="1" applyBorder="1" applyAlignment="1">
      <alignment horizontal="center" vertical="top" wrapText="1"/>
    </xf>
    <xf numFmtId="0" fontId="9" fillId="6" borderId="13" xfId="0" applyFont="1" applyFill="1" applyBorder="1" applyAlignment="1">
      <alignment horizontal="center" vertical="top" wrapText="1"/>
    </xf>
    <xf numFmtId="0" fontId="0" fillId="6" borderId="31" xfId="0" applyFill="1" applyBorder="1" applyAlignment="1">
      <alignment horizontal="center" vertical="top" wrapText="1"/>
    </xf>
    <xf numFmtId="0" fontId="0" fillId="6" borderId="13" xfId="0" applyFill="1" applyBorder="1" applyAlignment="1">
      <alignment horizontal="center" vertical="top" wrapText="1"/>
    </xf>
    <xf numFmtId="0" fontId="0" fillId="17" borderId="19" xfId="0" applyFill="1" applyBorder="1" applyAlignment="1">
      <alignment horizontal="center" vertical="top" wrapText="1"/>
    </xf>
    <xf numFmtId="0" fontId="0" fillId="17" borderId="0" xfId="0" applyFill="1" applyAlignment="1">
      <alignment horizontal="center" vertical="top" wrapText="1"/>
    </xf>
    <xf numFmtId="0" fontId="0" fillId="17" borderId="6" xfId="0" applyFill="1" applyBorder="1" applyAlignment="1">
      <alignment horizontal="center" vertical="top" wrapText="1"/>
    </xf>
    <xf numFmtId="0" fontId="0" fillId="18" borderId="19" xfId="0" applyFill="1" applyBorder="1" applyAlignment="1">
      <alignment horizontal="center" vertical="top" wrapText="1"/>
    </xf>
    <xf numFmtId="0" fontId="0" fillId="18" borderId="0" xfId="0" applyFill="1" applyAlignment="1">
      <alignment horizontal="center" vertical="top" wrapText="1"/>
    </xf>
    <xf numFmtId="0" fontId="0" fillId="18" borderId="6" xfId="0" applyFill="1" applyBorder="1" applyAlignment="1">
      <alignment horizontal="center" vertical="top" wrapText="1"/>
    </xf>
    <xf numFmtId="0" fontId="8" fillId="0" borderId="14" xfId="0" applyFont="1" applyBorder="1" applyAlignment="1">
      <alignment horizontal="left" vertical="top" wrapText="1"/>
    </xf>
    <xf numFmtId="0" fontId="8" fillId="0" borderId="24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17" borderId="20" xfId="0" applyFill="1" applyBorder="1" applyAlignment="1">
      <alignment horizontal="center" vertical="top" wrapText="1"/>
    </xf>
    <xf numFmtId="0" fontId="0" fillId="18" borderId="14" xfId="0" applyFill="1" applyBorder="1" applyAlignment="1">
      <alignment horizontal="center" vertical="top" wrapText="1"/>
    </xf>
    <xf numFmtId="0" fontId="0" fillId="18" borderId="23" xfId="0" applyFill="1" applyBorder="1" applyAlignment="1">
      <alignment horizontal="center" vertical="top" wrapText="1"/>
    </xf>
    <xf numFmtId="0" fontId="0" fillId="18" borderId="13" xfId="0" applyFill="1" applyBorder="1" applyAlignment="1">
      <alignment horizontal="center" vertical="top" wrapText="1"/>
    </xf>
    <xf numFmtId="0" fontId="0" fillId="18" borderId="24" xfId="0" applyFill="1" applyBorder="1" applyAlignment="1">
      <alignment horizontal="center" vertical="top" wrapText="1"/>
    </xf>
    <xf numFmtId="0" fontId="0" fillId="18" borderId="0" xfId="0" applyFill="1" applyBorder="1" applyAlignment="1">
      <alignment horizontal="center" vertical="top" wrapText="1"/>
    </xf>
    <xf numFmtId="0" fontId="0" fillId="18" borderId="20" xfId="0" applyFill="1" applyBorder="1" applyAlignment="1">
      <alignment horizontal="center" vertical="top" wrapText="1"/>
    </xf>
    <xf numFmtId="0" fontId="0" fillId="17" borderId="24" xfId="0" applyFill="1" applyBorder="1" applyAlignment="1">
      <alignment horizontal="center" vertical="top" wrapText="1"/>
    </xf>
    <xf numFmtId="0" fontId="8" fillId="7" borderId="24" xfId="0" applyFont="1" applyFill="1" applyBorder="1" applyAlignment="1">
      <alignment horizontal="left" vertical="top" wrapText="1"/>
    </xf>
    <xf numFmtId="0" fontId="8" fillId="7" borderId="15" xfId="0" applyFont="1" applyFill="1" applyBorder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0" fillId="7" borderId="26" xfId="0" applyFill="1" applyBorder="1" applyAlignment="1">
      <alignment horizontal="left" vertical="top" wrapText="1"/>
    </xf>
    <xf numFmtId="0" fontId="8" fillId="19" borderId="123" xfId="0" applyFont="1" applyFill="1" applyBorder="1" applyAlignment="1">
      <alignment horizontal="left" wrapText="1"/>
    </xf>
    <xf numFmtId="0" fontId="8" fillId="19" borderId="34" xfId="0" applyFont="1" applyFill="1" applyBorder="1" applyAlignment="1">
      <alignment horizontal="left" wrapText="1"/>
    </xf>
    <xf numFmtId="0" fontId="8" fillId="19" borderId="111" xfId="0" applyFont="1" applyFill="1" applyBorder="1" applyAlignment="1">
      <alignment horizontal="left" wrapText="1"/>
    </xf>
    <xf numFmtId="0" fontId="8" fillId="19" borderId="84" xfId="0" applyFont="1" applyFill="1" applyBorder="1" applyAlignment="1">
      <alignment horizontal="center" vertical="top" wrapText="1"/>
    </xf>
    <xf numFmtId="0" fontId="8" fillId="19" borderId="124" xfId="0" applyFont="1" applyFill="1" applyBorder="1" applyAlignment="1">
      <alignment horizontal="center" vertical="top" wrapText="1"/>
    </xf>
    <xf numFmtId="0" fontId="8" fillId="19" borderId="112" xfId="0" applyFont="1" applyFill="1" applyBorder="1" applyAlignment="1">
      <alignment horizontal="center" vertical="top" wrapText="1"/>
    </xf>
    <xf numFmtId="0" fontId="8" fillId="10" borderId="123" xfId="0" applyFont="1" applyFill="1" applyBorder="1" applyAlignment="1">
      <alignment horizontal="center" wrapText="1"/>
    </xf>
    <xf numFmtId="0" fontId="8" fillId="10" borderId="111" xfId="0" applyFont="1" applyFill="1" applyBorder="1" applyAlignment="1">
      <alignment horizontal="center" wrapText="1"/>
    </xf>
    <xf numFmtId="0" fontId="8" fillId="10" borderId="123" xfId="0" applyFont="1" applyFill="1" applyBorder="1" applyAlignment="1">
      <alignment horizontal="center" vertical="center" wrapText="1"/>
    </xf>
    <xf numFmtId="0" fontId="8" fillId="10" borderId="11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top" wrapText="1"/>
    </xf>
    <xf numFmtId="0" fontId="9" fillId="6" borderId="0" xfId="0" applyFont="1" applyFill="1" applyAlignment="1">
      <alignment horizontal="center" vertical="top" wrapText="1"/>
    </xf>
    <xf numFmtId="0" fontId="9" fillId="6" borderId="20" xfId="0" applyFont="1" applyFill="1" applyBorder="1" applyAlignment="1">
      <alignment horizontal="center" vertical="top" wrapText="1"/>
    </xf>
    <xf numFmtId="0" fontId="9" fillId="6" borderId="19" xfId="0" applyFont="1" applyFill="1" applyBorder="1" applyAlignment="1">
      <alignment horizontal="center" vertical="top" wrapText="1"/>
    </xf>
    <xf numFmtId="0" fontId="9" fillId="6" borderId="6" xfId="0" applyFont="1" applyFill="1" applyBorder="1" applyAlignment="1">
      <alignment horizontal="center" vertical="top" wrapText="1"/>
    </xf>
    <xf numFmtId="0" fontId="9" fillId="6" borderId="18" xfId="0" applyFont="1" applyFill="1" applyBorder="1" applyAlignment="1">
      <alignment horizontal="center" vertical="top" wrapText="1"/>
    </xf>
    <xf numFmtId="0" fontId="9" fillId="6" borderId="61" xfId="0" applyFont="1" applyFill="1" applyBorder="1" applyAlignment="1">
      <alignment horizontal="center" vertical="top" wrapText="1"/>
    </xf>
    <xf numFmtId="0" fontId="9" fillId="6" borderId="176" xfId="0" applyFont="1" applyFill="1" applyBorder="1" applyAlignment="1">
      <alignment horizontal="center" vertical="top" wrapText="1"/>
    </xf>
    <xf numFmtId="0" fontId="9" fillId="6" borderId="177" xfId="0" applyFont="1" applyFill="1" applyBorder="1" applyAlignment="1">
      <alignment horizontal="center" vertical="top" wrapText="1"/>
    </xf>
    <xf numFmtId="0" fontId="31" fillId="0" borderId="0" xfId="0" applyFont="1" applyAlignment="1">
      <alignment horizontal="center"/>
    </xf>
    <xf numFmtId="0" fontId="34" fillId="0" borderId="0" xfId="0" applyFont="1" applyAlignment="1">
      <alignment horizontal="left" vertical="top" wrapText="1"/>
    </xf>
    <xf numFmtId="0" fontId="27" fillId="11" borderId="28" xfId="0" applyFont="1" applyFill="1" applyBorder="1" applyAlignment="1">
      <alignment horizontal="left"/>
    </xf>
    <xf numFmtId="0" fontId="27" fillId="11" borderId="29" xfId="0" applyFont="1" applyFill="1" applyBorder="1" applyAlignment="1">
      <alignment horizontal="left"/>
    </xf>
    <xf numFmtId="0" fontId="28" fillId="0" borderId="26" xfId="0" applyFont="1" applyBorder="1" applyAlignment="1">
      <alignment horizontal="left"/>
    </xf>
    <xf numFmtId="0" fontId="28" fillId="0" borderId="27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27" fillId="10" borderId="28" xfId="0" applyFont="1" applyFill="1" applyBorder="1" applyAlignment="1">
      <alignment horizontal="left"/>
    </xf>
    <xf numFmtId="0" fontId="27" fillId="10" borderId="29" xfId="0" applyFont="1" applyFill="1" applyBorder="1" applyAlignment="1">
      <alignment horizontal="left"/>
    </xf>
    <xf numFmtId="0" fontId="60" fillId="11" borderId="117" xfId="6" applyFill="1" applyBorder="1" applyAlignment="1">
      <alignment horizontal="center"/>
    </xf>
    <xf numFmtId="0" fontId="60" fillId="11" borderId="57" xfId="6" applyFill="1" applyBorder="1" applyAlignment="1">
      <alignment horizontal="center"/>
    </xf>
    <xf numFmtId="0" fontId="60" fillId="11" borderId="113" xfId="6" applyFill="1" applyBorder="1" applyAlignment="1">
      <alignment horizontal="center"/>
    </xf>
    <xf numFmtId="0" fontId="30" fillId="28" borderId="73" xfId="0" applyFont="1" applyFill="1" applyBorder="1" applyAlignment="1">
      <alignment horizontal="center" vertical="center"/>
    </xf>
    <xf numFmtId="0" fontId="30" fillId="28" borderId="179" xfId="0" applyFont="1" applyFill="1" applyBorder="1" applyAlignment="1">
      <alignment horizontal="center" vertical="center"/>
    </xf>
    <xf numFmtId="168" fontId="73" fillId="0" borderId="59" xfId="0" applyNumberFormat="1" applyFont="1" applyBorder="1" applyAlignment="1">
      <alignment horizontal="center" vertical="center"/>
    </xf>
    <xf numFmtId="0" fontId="73" fillId="0" borderId="64" xfId="0" applyFont="1" applyBorder="1" applyAlignment="1">
      <alignment horizontal="center" vertical="center"/>
    </xf>
    <xf numFmtId="0" fontId="27" fillId="11" borderId="0" xfId="0" applyFont="1" applyFill="1" applyAlignment="1">
      <alignment horizontal="left"/>
    </xf>
    <xf numFmtId="0" fontId="27" fillId="10" borderId="0" xfId="0" applyFont="1" applyFill="1" applyAlignment="1">
      <alignment horizontal="left"/>
    </xf>
    <xf numFmtId="0" fontId="36" fillId="12" borderId="28" xfId="0" applyFont="1" applyFill="1" applyBorder="1" applyAlignment="1">
      <alignment horizontal="center" vertical="center" wrapText="1"/>
    </xf>
    <xf numFmtId="0" fontId="36" fillId="12" borderId="29" xfId="0" applyFont="1" applyFill="1" applyBorder="1" applyAlignment="1">
      <alignment horizontal="center" vertical="center" wrapText="1"/>
    </xf>
    <xf numFmtId="0" fontId="36" fillId="12" borderId="30" xfId="0" applyFont="1" applyFill="1" applyBorder="1" applyAlignment="1">
      <alignment horizontal="center" vertical="center" wrapText="1"/>
    </xf>
    <xf numFmtId="0" fontId="36" fillId="12" borderId="8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9" xfId="0" applyFont="1" applyFill="1" applyBorder="1" applyAlignment="1">
      <alignment horizontal="center" vertical="center" wrapText="1"/>
    </xf>
    <xf numFmtId="0" fontId="59" fillId="12" borderId="8" xfId="0" applyFont="1" applyFill="1" applyBorder="1" applyAlignment="1">
      <alignment horizontal="center" vertical="center" wrapText="1"/>
    </xf>
    <xf numFmtId="0" fontId="59" fillId="12" borderId="9" xfId="0" applyFont="1" applyFill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/>
    </xf>
    <xf numFmtId="0" fontId="36" fillId="12" borderId="14" xfId="0" applyFont="1" applyFill="1" applyBorder="1" applyAlignment="1">
      <alignment horizontal="center" vertical="center" wrapText="1"/>
    </xf>
    <xf numFmtId="0" fontId="36" fillId="12" borderId="23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center" wrapText="1"/>
    </xf>
    <xf numFmtId="0" fontId="1" fillId="26" borderId="8" xfId="0" applyFont="1" applyFill="1" applyBorder="1" applyAlignment="1">
      <alignment horizontal="center" vertical="top"/>
    </xf>
    <xf numFmtId="0" fontId="1" fillId="26" borderId="78" xfId="0" applyFont="1" applyFill="1" applyBorder="1" applyAlignment="1">
      <alignment horizontal="center" vertical="top"/>
    </xf>
    <xf numFmtId="0" fontId="5" fillId="26" borderId="8" xfId="0" applyFont="1" applyFill="1" applyBorder="1" applyAlignment="1">
      <alignment horizontal="left" vertical="top" wrapText="1"/>
    </xf>
    <xf numFmtId="0" fontId="5" fillId="26" borderId="78" xfId="0" applyFont="1" applyFill="1" applyBorder="1" applyAlignment="1">
      <alignment horizontal="left" vertical="top" wrapText="1"/>
    </xf>
    <xf numFmtId="0" fontId="1" fillId="26" borderId="8" xfId="0" applyFont="1" applyFill="1" applyBorder="1" applyAlignment="1">
      <alignment vertical="top" wrapText="1"/>
    </xf>
    <xf numFmtId="0" fontId="1" fillId="26" borderId="78" xfId="0" applyFont="1" applyFill="1" applyBorder="1" applyAlignment="1">
      <alignment vertical="top" wrapText="1"/>
    </xf>
    <xf numFmtId="2" fontId="3" fillId="5" borderId="89" xfId="3" applyNumberFormat="1" applyFont="1" applyBorder="1" applyAlignment="1">
      <alignment horizontal="right" vertical="top" wrapText="1"/>
    </xf>
    <xf numFmtId="2" fontId="3" fillId="5" borderId="90" xfId="3" applyNumberFormat="1" applyFont="1" applyBorder="1" applyAlignment="1">
      <alignment horizontal="right" vertical="top" wrapText="1"/>
    </xf>
    <xf numFmtId="0" fontId="5" fillId="26" borderId="7" xfId="0" applyFont="1" applyFill="1" applyBorder="1" applyAlignment="1">
      <alignment horizontal="left" vertical="top" wrapText="1"/>
    </xf>
    <xf numFmtId="0" fontId="5" fillId="26" borderId="4" xfId="0" applyFont="1" applyFill="1" applyBorder="1" applyAlignment="1">
      <alignment horizontal="left" vertical="top" wrapText="1"/>
    </xf>
    <xf numFmtId="165" fontId="50" fillId="3" borderId="8" xfId="4" applyNumberFormat="1" applyFont="1" applyFill="1" applyBorder="1" applyAlignment="1">
      <alignment horizontal="right" vertical="top" wrapText="1"/>
    </xf>
    <xf numFmtId="165" fontId="50" fillId="3" borderId="9" xfId="4" applyNumberFormat="1" applyFont="1" applyFill="1" applyBorder="1" applyAlignment="1">
      <alignment horizontal="right" vertical="top" wrapText="1"/>
    </xf>
    <xf numFmtId="165" fontId="50" fillId="3" borderId="8" xfId="4" applyNumberFormat="1" applyFont="1" applyFill="1" applyBorder="1" applyAlignment="1">
      <alignment vertical="top" wrapText="1"/>
    </xf>
    <xf numFmtId="165" fontId="50" fillId="3" borderId="9" xfId="4" applyNumberFormat="1" applyFont="1" applyFill="1" applyBorder="1" applyAlignment="1">
      <alignment vertical="top" wrapText="1"/>
    </xf>
    <xf numFmtId="0" fontId="5" fillId="26" borderId="14" xfId="0" applyFont="1" applyFill="1" applyBorder="1" applyAlignment="1">
      <alignment horizontal="left" vertical="top" wrapText="1"/>
    </xf>
    <xf numFmtId="0" fontId="5" fillId="26" borderId="15" xfId="0" applyFont="1" applyFill="1" applyBorder="1" applyAlignment="1">
      <alignment horizontal="left" vertical="top" wrapText="1"/>
    </xf>
    <xf numFmtId="2" fontId="50" fillId="3" borderId="8" xfId="4" applyNumberFormat="1" applyFont="1" applyFill="1" applyBorder="1" applyAlignment="1">
      <alignment vertical="top" wrapText="1"/>
    </xf>
    <xf numFmtId="2" fontId="50" fillId="3" borderId="9" xfId="4" applyNumberFormat="1" applyFont="1" applyFill="1" applyBorder="1" applyAlignment="1">
      <alignment vertical="top" wrapText="1"/>
    </xf>
    <xf numFmtId="0" fontId="1" fillId="26" borderId="9" xfId="0" applyFont="1" applyFill="1" applyBorder="1" applyAlignment="1">
      <alignment vertical="top" wrapText="1"/>
    </xf>
    <xf numFmtId="0" fontId="5" fillId="26" borderId="11" xfId="0" applyFont="1" applyFill="1" applyBorder="1" applyAlignment="1">
      <alignment horizontal="left" vertical="top" wrapText="1"/>
    </xf>
    <xf numFmtId="0" fontId="5" fillId="26" borderId="12" xfId="0" applyFont="1" applyFill="1" applyBorder="1" applyAlignment="1">
      <alignment horizontal="left" vertical="top" wrapText="1"/>
    </xf>
    <xf numFmtId="0" fontId="5" fillId="26" borderId="8" xfId="0" applyFont="1" applyFill="1" applyBorder="1" applyAlignment="1">
      <alignment horizontal="center" vertical="top" wrapText="1"/>
    </xf>
    <xf numFmtId="0" fontId="5" fillId="26" borderId="9" xfId="0" applyFont="1" applyFill="1" applyBorder="1" applyAlignment="1">
      <alignment horizontal="center" vertical="top" wrapText="1"/>
    </xf>
    <xf numFmtId="0" fontId="1" fillId="26" borderId="13" xfId="0" applyFont="1" applyFill="1" applyBorder="1" applyAlignment="1">
      <alignment horizontal="center" vertical="top"/>
    </xf>
    <xf numFmtId="0" fontId="1" fillId="26" borderId="5" xfId="0" applyFont="1" applyFill="1" applyBorder="1" applyAlignment="1">
      <alignment horizontal="center" vertical="top"/>
    </xf>
    <xf numFmtId="0" fontId="8" fillId="0" borderId="14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8" fillId="0" borderId="1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4" fillId="22" borderId="14" xfId="0" applyFont="1" applyFill="1" applyBorder="1" applyAlignment="1">
      <alignment horizontal="center"/>
    </xf>
    <xf numFmtId="0" fontId="64" fillId="22" borderId="23" xfId="0" applyFont="1" applyFill="1" applyBorder="1" applyAlignment="1">
      <alignment horizontal="center"/>
    </xf>
  </cellXfs>
  <cellStyles count="8">
    <cellStyle name="Čiarka" xfId="5" builtinId="3"/>
    <cellStyle name="Dobrá" xfId="1" builtinId="26"/>
    <cellStyle name="Hypertextové prepojenie" xfId="6" builtinId="8"/>
    <cellStyle name="Mena" xfId="7" builtinId="4"/>
    <cellStyle name="Normálna" xfId="0" builtinId="0"/>
    <cellStyle name="Percentá" xfId="4" builtinId="5"/>
    <cellStyle name="Poznámka" xfId="3" builtinId="10"/>
    <cellStyle name="Výpočet" xfId="2" builtinId="22"/>
  </cellStyles>
  <dxfs count="1"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36</xdr:row>
      <xdr:rowOff>0</xdr:rowOff>
    </xdr:from>
    <xdr:ext cx="23552726" cy="9841933"/>
    <xdr:pic>
      <xdr:nvPicPr>
        <xdr:cNvPr id="4" name="Obrázok 3">
          <a:extLst>
            <a:ext uri="{FF2B5EF4-FFF2-40B4-BE49-F238E27FC236}">
              <a16:creationId xmlns:a16="http://schemas.microsoft.com/office/drawing/2014/main" id="{1724E985-36FC-4DAB-9983-90EF3D1A8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83680"/>
          <a:ext cx="23552726" cy="9841933"/>
        </a:xfrm>
        <a:prstGeom prst="rect">
          <a:avLst/>
        </a:prstGeom>
      </xdr:spPr>
    </xdr:pic>
    <xdr:clientData/>
  </xdr:oneCellAnchor>
  <xdr:oneCellAnchor>
    <xdr:from>
      <xdr:col>17</xdr:col>
      <xdr:colOff>51955</xdr:colOff>
      <xdr:row>94</xdr:row>
      <xdr:rowOff>34637</xdr:rowOff>
    </xdr:from>
    <xdr:ext cx="29906594" cy="9836727"/>
    <xdr:pic>
      <xdr:nvPicPr>
        <xdr:cNvPr id="5" name="Obrázok 4">
          <a:extLst>
            <a:ext uri="{FF2B5EF4-FFF2-40B4-BE49-F238E27FC236}">
              <a16:creationId xmlns:a16="http://schemas.microsoft.com/office/drawing/2014/main" id="{A3F16119-5020-4A01-85D9-89A2F8A4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0" y="20071773"/>
          <a:ext cx="29906594" cy="983672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0</xdr:rowOff>
    </xdr:from>
    <xdr:ext cx="23511164" cy="9495440"/>
    <xdr:pic>
      <xdr:nvPicPr>
        <xdr:cNvPr id="6" name="Obrázok 5">
          <a:extLst>
            <a:ext uri="{FF2B5EF4-FFF2-40B4-BE49-F238E27FC236}">
              <a16:creationId xmlns:a16="http://schemas.microsoft.com/office/drawing/2014/main" id="{2F38C261-3817-484A-945C-C58CAF04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90720"/>
          <a:ext cx="23511164" cy="94954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23608144" cy="8891826"/>
    <xdr:pic>
      <xdr:nvPicPr>
        <xdr:cNvPr id="8" name="Obrázok 7">
          <a:extLst>
            <a:ext uri="{FF2B5EF4-FFF2-40B4-BE49-F238E27FC236}">
              <a16:creationId xmlns:a16="http://schemas.microsoft.com/office/drawing/2014/main" id="{E7EB341C-F00F-4A38-A583-617646156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14880"/>
          <a:ext cx="23608144" cy="889182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203</xdr:row>
      <xdr:rowOff>-1</xdr:rowOff>
    </xdr:from>
    <xdr:ext cx="23677418" cy="9610677"/>
    <xdr:pic>
      <xdr:nvPicPr>
        <xdr:cNvPr id="10" name="Obrázok 9">
          <a:extLst>
            <a:ext uri="{FF2B5EF4-FFF2-40B4-BE49-F238E27FC236}">
              <a16:creationId xmlns:a16="http://schemas.microsoft.com/office/drawing/2014/main" id="{F95617B6-6CA4-4D34-B729-8C1342669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21919"/>
          <a:ext cx="23677418" cy="961067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260</xdr:row>
      <xdr:rowOff>0</xdr:rowOff>
    </xdr:from>
    <xdr:ext cx="12649200" cy="7523380"/>
    <xdr:pic>
      <xdr:nvPicPr>
        <xdr:cNvPr id="12" name="Obrázok 11">
          <a:extLst>
            <a:ext uri="{FF2B5EF4-FFF2-40B4-BE49-F238E27FC236}">
              <a16:creationId xmlns:a16="http://schemas.microsoft.com/office/drawing/2014/main" id="{D9C481D1-34B9-4035-B9AA-57882279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46080"/>
          <a:ext cx="12649200" cy="7523380"/>
        </a:xfrm>
        <a:prstGeom prst="rect">
          <a:avLst/>
        </a:prstGeom>
      </xdr:spPr>
    </xdr:pic>
    <xdr:clientData/>
  </xdr:oneCellAnchor>
  <xdr:oneCellAnchor>
    <xdr:from>
      <xdr:col>15</xdr:col>
      <xdr:colOff>609599</xdr:colOff>
      <xdr:row>260</xdr:row>
      <xdr:rowOff>-1</xdr:rowOff>
    </xdr:from>
    <xdr:ext cx="16736291" cy="9044223"/>
    <xdr:pic>
      <xdr:nvPicPr>
        <xdr:cNvPr id="13" name="Obrázok 12">
          <a:extLst>
            <a:ext uri="{FF2B5EF4-FFF2-40B4-BE49-F238E27FC236}">
              <a16:creationId xmlns:a16="http://schemas.microsoft.com/office/drawing/2014/main" id="{74FD9EA6-5631-48C7-994B-3E5EDDA9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599" y="48646079"/>
          <a:ext cx="16736291" cy="904422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313</xdr:row>
      <xdr:rowOff>0</xdr:rowOff>
    </xdr:from>
    <xdr:ext cx="14103926" cy="7899618"/>
    <xdr:pic>
      <xdr:nvPicPr>
        <xdr:cNvPr id="14" name="Obrázok 13">
          <a:extLst>
            <a:ext uri="{FF2B5EF4-FFF2-40B4-BE49-F238E27FC236}">
              <a16:creationId xmlns:a16="http://schemas.microsoft.com/office/drawing/2014/main" id="{ABEB6821-DFD2-4638-B5D3-2BADC05F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338720"/>
          <a:ext cx="14103926" cy="7899618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313</xdr:row>
      <xdr:rowOff>0</xdr:rowOff>
    </xdr:from>
    <xdr:ext cx="14714986" cy="7897091"/>
    <xdr:pic>
      <xdr:nvPicPr>
        <xdr:cNvPr id="15" name="Obrázok 14">
          <a:extLst>
            <a:ext uri="{FF2B5EF4-FFF2-40B4-BE49-F238E27FC236}">
              <a16:creationId xmlns:a16="http://schemas.microsoft.com/office/drawing/2014/main" id="{4CFAAE2A-29E7-4DB9-A0B4-7BCC89E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58338720"/>
          <a:ext cx="14714986" cy="789709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360</xdr:row>
      <xdr:rowOff>0</xdr:rowOff>
    </xdr:from>
    <xdr:ext cx="15974290" cy="9835371"/>
    <xdr:pic>
      <xdr:nvPicPr>
        <xdr:cNvPr id="16" name="Obrázok 15">
          <a:extLst>
            <a:ext uri="{FF2B5EF4-FFF2-40B4-BE49-F238E27FC236}">
              <a16:creationId xmlns:a16="http://schemas.microsoft.com/office/drawing/2014/main" id="{C5B95D08-E013-4412-A949-0205FB62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34080"/>
          <a:ext cx="15974290" cy="9835371"/>
        </a:xfrm>
        <a:prstGeom prst="rect">
          <a:avLst/>
        </a:prstGeom>
      </xdr:spPr>
    </xdr:pic>
    <xdr:clientData/>
  </xdr:oneCellAnchor>
  <xdr:oneCellAnchor>
    <xdr:from>
      <xdr:col>16</xdr:col>
      <xdr:colOff>13853</xdr:colOff>
      <xdr:row>360</xdr:row>
      <xdr:rowOff>27709</xdr:rowOff>
    </xdr:from>
    <xdr:ext cx="17581419" cy="11109676"/>
    <xdr:pic>
      <xdr:nvPicPr>
        <xdr:cNvPr id="17" name="Obrázok 16">
          <a:extLst>
            <a:ext uri="{FF2B5EF4-FFF2-40B4-BE49-F238E27FC236}">
              <a16:creationId xmlns:a16="http://schemas.microsoft.com/office/drawing/2014/main" id="{F8821B67-9DDC-4ABF-A5F3-9ADE50C8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7453" y="66961789"/>
          <a:ext cx="17581419" cy="1110967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15</xdr:col>
      <xdr:colOff>323850</xdr:colOff>
      <xdr:row>33</xdr:row>
      <xdr:rowOff>1162050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4FC7540B-B400-45E7-94BE-FD8A056089AF}"/>
            </a:ext>
            <a:ext uri="{147F2762-F138-4A5C-976F-8EAC2B608ADB}">
              <a16:predDERef xmlns:a16="http://schemas.microsoft.com/office/drawing/2014/main" pred="{F8821B67-9DDC-4ABF-A5F3-9ADE50C8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71550"/>
          <a:ext cx="23317200" cy="65913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58</xdr:col>
      <xdr:colOff>447675</xdr:colOff>
      <xdr:row>33</xdr:row>
      <xdr:rowOff>1209675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FA0325B8-D498-48CC-9E53-61261BBB840A}"/>
            </a:ext>
            <a:ext uri="{147F2762-F138-4A5C-976F-8EAC2B608ADB}">
              <a16:predDERef xmlns:a16="http://schemas.microsoft.com/office/drawing/2014/main" pred="{4FC7540B-B400-45E7-94BE-FD8A05608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583900" y="971550"/>
          <a:ext cx="25250775" cy="6638925"/>
        </a:xfrm>
        <a:prstGeom prst="rect">
          <a:avLst/>
        </a:prstGeom>
      </xdr:spPr>
    </xdr:pic>
    <xdr:clientData/>
  </xdr:twoCellAnchor>
  <xdr:twoCellAnchor>
    <xdr:from>
      <xdr:col>16</xdr:col>
      <xdr:colOff>294409</xdr:colOff>
      <xdr:row>56</xdr:row>
      <xdr:rowOff>103909</xdr:rowOff>
    </xdr:from>
    <xdr:to>
      <xdr:col>27</xdr:col>
      <xdr:colOff>311728</xdr:colOff>
      <xdr:row>92</xdr:row>
      <xdr:rowOff>259773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44D6EDD1-80CF-460D-AEF6-1BD9244A6C68}"/>
            </a:ext>
          </a:extLst>
        </xdr:cNvPr>
        <xdr:cNvCxnSpPr/>
      </xdr:nvCxnSpPr>
      <xdr:spPr>
        <a:xfrm>
          <a:off x="23847136" y="12763500"/>
          <a:ext cx="6494319" cy="7013864"/>
        </a:xfrm>
        <a:prstGeom prst="straightConnector1">
          <a:avLst/>
        </a:prstGeom>
        <a:ln w="34925"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467591</xdr:colOff>
      <xdr:row>146</xdr:row>
      <xdr:rowOff>173182</xdr:rowOff>
    </xdr:from>
    <xdr:to>
      <xdr:col>24</xdr:col>
      <xdr:colOff>432954</xdr:colOff>
      <xdr:row>179</xdr:row>
      <xdr:rowOff>51954</xdr:rowOff>
    </xdr:to>
    <xdr:cxnSp macro="">
      <xdr:nvCxnSpPr>
        <xdr:cNvPr id="9" name="Rovná spojovacia šípka 8">
          <a:extLst>
            <a:ext uri="{FF2B5EF4-FFF2-40B4-BE49-F238E27FC236}">
              <a16:creationId xmlns:a16="http://schemas.microsoft.com/office/drawing/2014/main" id="{2E0A7C2F-B088-400C-B9ED-E3D0A440ACE0}"/>
            </a:ext>
          </a:extLst>
        </xdr:cNvPr>
        <xdr:cNvCxnSpPr/>
      </xdr:nvCxnSpPr>
      <xdr:spPr>
        <a:xfrm flipV="1">
          <a:off x="24020318" y="30116318"/>
          <a:ext cx="4675909" cy="6303818"/>
        </a:xfrm>
        <a:prstGeom prst="straightConnector1">
          <a:avLst/>
        </a:prstGeom>
        <a:ln w="34925"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277091</xdr:colOff>
      <xdr:row>146</xdr:row>
      <xdr:rowOff>103909</xdr:rowOff>
    </xdr:from>
    <xdr:to>
      <xdr:col>27</xdr:col>
      <xdr:colOff>138546</xdr:colOff>
      <xdr:row>229</xdr:row>
      <xdr:rowOff>138546</xdr:rowOff>
    </xdr:to>
    <xdr:cxnSp macro="">
      <xdr:nvCxnSpPr>
        <xdr:cNvPr id="19" name="Rovná spojovacia šípka 18">
          <a:extLst>
            <a:ext uri="{FF2B5EF4-FFF2-40B4-BE49-F238E27FC236}">
              <a16:creationId xmlns:a16="http://schemas.microsoft.com/office/drawing/2014/main" id="{2A59E0FA-B9E5-4D93-9A51-3E2BA3CB31BB}"/>
            </a:ext>
          </a:extLst>
        </xdr:cNvPr>
        <xdr:cNvCxnSpPr/>
      </xdr:nvCxnSpPr>
      <xdr:spPr>
        <a:xfrm flipV="1">
          <a:off x="23829818" y="30047045"/>
          <a:ext cx="6338455" cy="16123228"/>
        </a:xfrm>
        <a:prstGeom prst="straightConnector1">
          <a:avLst/>
        </a:prstGeom>
        <a:ln w="34925"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access.redhat.com/documentation/en-us/reference_architectures/2017/html-single/business_process_management_with_red_hat_jboss_bpm_suite_6.3/inde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A1:R46"/>
  <sheetViews>
    <sheetView view="pageBreakPreview" topLeftCell="A20" zoomScale="60" zoomScaleNormal="100" workbookViewId="0" xr3:uid="{AEA406A1-0E4B-5B11-9CD5-51D6E497D94C}"/>
  </sheetViews>
  <sheetFormatPr defaultColWidth="8.85546875" defaultRowHeight="15"/>
  <cols>
    <col min="2" max="2" width="11.7109375" customWidth="1"/>
    <col min="4" max="4" width="6.42578125" customWidth="1"/>
    <col min="6" max="6" width="7.7109375" customWidth="1"/>
    <col min="7" max="7" width="12.28515625" customWidth="1"/>
    <col min="8" max="8" width="6" customWidth="1"/>
    <col min="9" max="9" width="14.28515625" customWidth="1"/>
  </cols>
  <sheetData>
    <row r="1" spans="1:18">
      <c r="A1" s="36"/>
      <c r="B1" s="36"/>
      <c r="C1" s="36"/>
      <c r="D1" s="36"/>
      <c r="E1" s="36"/>
      <c r="F1" s="36"/>
      <c r="G1" s="36"/>
      <c r="H1" s="36"/>
      <c r="I1" s="36"/>
      <c r="J1" s="315"/>
      <c r="K1" s="316"/>
      <c r="L1" s="316"/>
      <c r="M1" s="316"/>
      <c r="N1" s="316"/>
      <c r="O1" s="316"/>
      <c r="P1" s="316"/>
      <c r="Q1" s="316"/>
      <c r="R1" s="316"/>
    </row>
    <row r="2" spans="1:18">
      <c r="A2" s="36"/>
      <c r="B2" s="36"/>
      <c r="C2" s="36"/>
      <c r="D2" s="36"/>
      <c r="E2" s="36"/>
      <c r="F2" s="36"/>
      <c r="G2" s="36"/>
      <c r="H2" s="36"/>
      <c r="I2" s="36"/>
      <c r="J2" s="316"/>
      <c r="K2" s="316"/>
      <c r="L2" s="316"/>
      <c r="M2" s="316"/>
      <c r="N2" s="316"/>
      <c r="O2" s="316"/>
      <c r="P2" s="316"/>
      <c r="Q2" s="316"/>
      <c r="R2" s="316"/>
    </row>
    <row r="3" spans="1:18" ht="15" customHeight="1">
      <c r="A3" s="36"/>
      <c r="B3" s="36"/>
      <c r="C3" s="36"/>
      <c r="D3" s="36"/>
      <c r="E3" s="36"/>
      <c r="F3" s="36"/>
      <c r="G3" s="36"/>
      <c r="H3" s="36"/>
      <c r="I3" s="36"/>
      <c r="J3" s="316"/>
      <c r="K3" s="316"/>
      <c r="L3" s="316"/>
      <c r="M3" s="316"/>
      <c r="N3" s="316"/>
      <c r="O3" s="316"/>
      <c r="P3" s="316"/>
      <c r="Q3" s="316"/>
      <c r="R3" s="316"/>
    </row>
    <row r="4" spans="1:18" ht="15" customHeight="1">
      <c r="A4" s="36"/>
      <c r="B4" s="36"/>
      <c r="C4" s="36"/>
      <c r="D4" s="36"/>
      <c r="E4" s="36"/>
      <c r="F4" s="36"/>
      <c r="G4" s="36"/>
      <c r="H4" s="36"/>
      <c r="I4" s="36"/>
      <c r="J4" s="316"/>
      <c r="K4" s="316"/>
      <c r="L4" s="316"/>
      <c r="M4" s="316"/>
      <c r="N4" s="316"/>
      <c r="O4" s="316"/>
      <c r="P4" s="316"/>
      <c r="Q4" s="316"/>
      <c r="R4" s="316"/>
    </row>
    <row r="5" spans="1:18">
      <c r="A5" s="36"/>
      <c r="B5" s="36"/>
      <c r="C5" s="36"/>
      <c r="D5" s="36"/>
      <c r="E5" s="36"/>
      <c r="F5" s="36"/>
      <c r="G5" s="36"/>
      <c r="H5" s="36"/>
      <c r="I5" s="36"/>
      <c r="J5" s="316"/>
      <c r="K5" s="316"/>
      <c r="L5" s="316"/>
      <c r="M5" s="316"/>
      <c r="N5" s="316"/>
      <c r="O5" s="316"/>
      <c r="P5" s="316"/>
      <c r="Q5" s="316"/>
      <c r="R5" s="316"/>
    </row>
    <row r="6" spans="1:18" ht="62.1" customHeight="1">
      <c r="A6" s="680" t="s">
        <v>0</v>
      </c>
      <c r="B6" s="680"/>
      <c r="C6" s="680"/>
      <c r="D6" s="680"/>
      <c r="E6" s="680"/>
      <c r="F6" s="680"/>
      <c r="G6" s="680"/>
      <c r="H6" s="680"/>
      <c r="I6" s="680"/>
      <c r="J6" s="316"/>
      <c r="K6" s="316"/>
      <c r="L6" s="316"/>
      <c r="M6" s="316"/>
      <c r="N6" s="316"/>
      <c r="O6" s="316"/>
      <c r="P6" s="316"/>
      <c r="Q6" s="316"/>
      <c r="R6" s="316"/>
    </row>
    <row r="7" spans="1:18" ht="18.75" customHeight="1">
      <c r="A7" s="661" t="s">
        <v>1</v>
      </c>
      <c r="B7" s="661"/>
      <c r="C7" s="661"/>
      <c r="D7" s="661"/>
      <c r="E7" s="661"/>
      <c r="F7" s="661"/>
      <c r="G7" s="661"/>
      <c r="H7" s="661"/>
      <c r="I7" s="661"/>
      <c r="J7" s="316"/>
      <c r="K7" s="316"/>
      <c r="L7" s="316"/>
      <c r="M7" s="316"/>
      <c r="N7" s="316"/>
      <c r="O7" s="316"/>
      <c r="P7" s="316"/>
      <c r="Q7" s="316"/>
      <c r="R7" s="316"/>
    </row>
    <row r="8" spans="1:18">
      <c r="A8" s="681" t="s">
        <v>2</v>
      </c>
      <c r="B8" s="681"/>
      <c r="C8" s="681"/>
      <c r="D8" s="681"/>
      <c r="E8" s="681"/>
      <c r="F8" s="681"/>
      <c r="G8" s="681"/>
      <c r="H8" s="681"/>
      <c r="I8" s="681"/>
      <c r="J8" s="316"/>
      <c r="K8" s="316"/>
      <c r="L8" s="316"/>
      <c r="M8" s="316"/>
      <c r="N8" s="316"/>
      <c r="O8" s="316"/>
      <c r="P8" s="316"/>
      <c r="Q8" s="316"/>
      <c r="R8" s="316"/>
    </row>
    <row r="9" spans="1:18" ht="15" customHeight="1">
      <c r="A9" s="681"/>
      <c r="B9" s="681"/>
      <c r="C9" s="681"/>
      <c r="D9" s="681"/>
      <c r="E9" s="681"/>
      <c r="F9" s="681"/>
      <c r="G9" s="681"/>
      <c r="H9" s="681"/>
      <c r="I9" s="681"/>
      <c r="J9" s="316"/>
      <c r="K9" s="316"/>
      <c r="L9" s="316"/>
      <c r="M9" s="316"/>
      <c r="N9" s="316"/>
      <c r="O9" s="316"/>
      <c r="P9" s="316"/>
      <c r="Q9" s="316"/>
      <c r="R9" s="316"/>
    </row>
    <row r="10" spans="1:18" ht="48.6" customHeight="1">
      <c r="A10" s="681"/>
      <c r="B10" s="681"/>
      <c r="C10" s="681"/>
      <c r="D10" s="681"/>
      <c r="E10" s="681"/>
      <c r="F10" s="681"/>
      <c r="G10" s="681"/>
      <c r="H10" s="681"/>
      <c r="I10" s="681"/>
      <c r="J10" s="316"/>
      <c r="K10" s="316"/>
      <c r="L10" s="316"/>
      <c r="M10" s="316"/>
      <c r="N10" s="316"/>
      <c r="O10" s="316"/>
      <c r="P10" s="316"/>
      <c r="Q10" s="316"/>
      <c r="R10" s="316"/>
    </row>
    <row r="11" spans="1:18" ht="15" customHeight="1">
      <c r="A11" s="36"/>
      <c r="B11" s="36"/>
      <c r="C11" s="36"/>
      <c r="D11" s="36"/>
      <c r="E11" s="36"/>
      <c r="F11" s="36"/>
      <c r="G11" s="36"/>
      <c r="H11" s="36"/>
      <c r="I11" s="36"/>
      <c r="J11" s="316"/>
      <c r="K11" s="316"/>
      <c r="L11" s="316"/>
      <c r="M11" s="316"/>
      <c r="N11" s="316"/>
      <c r="O11" s="316"/>
      <c r="P11" s="316"/>
      <c r="Q11" s="316"/>
      <c r="R11" s="316"/>
    </row>
    <row r="12" spans="1:18">
      <c r="A12" s="36"/>
      <c r="B12" s="36"/>
      <c r="C12" s="36"/>
      <c r="D12" s="36"/>
      <c r="E12" s="36"/>
      <c r="F12" s="36"/>
      <c r="G12" s="36"/>
      <c r="H12" s="36"/>
      <c r="I12" s="36"/>
      <c r="J12" s="316"/>
      <c r="K12" s="316"/>
      <c r="L12" s="316"/>
      <c r="M12" s="316"/>
      <c r="N12" s="316"/>
      <c r="O12" s="316"/>
      <c r="P12" s="316"/>
      <c r="Q12" s="316"/>
      <c r="R12" s="316"/>
    </row>
    <row r="13" spans="1:18">
      <c r="A13" s="36"/>
      <c r="B13" s="36"/>
      <c r="C13" s="36"/>
      <c r="D13" s="36"/>
      <c r="E13" s="36"/>
      <c r="F13" s="36"/>
      <c r="G13" s="36"/>
      <c r="H13" s="36"/>
      <c r="I13" s="36"/>
      <c r="J13" s="316"/>
      <c r="K13" s="316"/>
      <c r="L13" s="316"/>
      <c r="M13" s="316"/>
      <c r="N13" s="316"/>
      <c r="O13" s="316"/>
      <c r="P13" s="316"/>
      <c r="Q13" s="316"/>
      <c r="R13" s="316"/>
    </row>
    <row r="14" spans="1:18">
      <c r="A14" s="36"/>
      <c r="B14" s="36"/>
      <c r="C14" s="36"/>
      <c r="D14" s="36"/>
      <c r="E14" s="36"/>
      <c r="F14" s="36"/>
      <c r="G14" s="36"/>
      <c r="H14" s="36"/>
      <c r="I14" s="36"/>
      <c r="J14" s="316"/>
      <c r="K14" s="316"/>
      <c r="L14" s="316"/>
      <c r="M14" s="316"/>
      <c r="N14" s="316"/>
      <c r="O14" s="316"/>
      <c r="P14" s="316"/>
      <c r="Q14" s="316"/>
      <c r="R14" s="316"/>
    </row>
    <row r="15" spans="1:18">
      <c r="A15" s="36"/>
      <c r="B15" s="36"/>
      <c r="C15" s="36"/>
      <c r="D15" s="36"/>
      <c r="E15" s="36"/>
      <c r="F15" s="36"/>
      <c r="G15" s="36"/>
      <c r="H15" s="36"/>
      <c r="I15" s="36"/>
      <c r="J15" s="316"/>
      <c r="K15" s="316"/>
      <c r="L15" s="316"/>
      <c r="M15" s="316"/>
      <c r="N15" s="316"/>
      <c r="O15" s="316"/>
      <c r="P15" s="316"/>
      <c r="Q15" s="316"/>
      <c r="R15" s="316"/>
    </row>
    <row r="16" spans="1:18">
      <c r="B16" s="36"/>
      <c r="C16" s="36"/>
      <c r="D16" s="36"/>
      <c r="E16" s="36"/>
      <c r="F16" s="36"/>
      <c r="G16" s="36"/>
      <c r="H16" s="36"/>
      <c r="I16" s="36"/>
      <c r="J16" s="316"/>
      <c r="K16" s="316"/>
      <c r="L16" s="316"/>
      <c r="M16" s="316"/>
      <c r="N16" s="316"/>
      <c r="O16" s="316"/>
      <c r="P16" s="316"/>
      <c r="Q16" s="316"/>
      <c r="R16" s="316"/>
    </row>
    <row r="17" spans="1:18">
      <c r="B17" s="36"/>
      <c r="C17" s="36"/>
      <c r="D17" s="36"/>
      <c r="E17" s="36"/>
      <c r="F17" s="36"/>
      <c r="G17" s="36"/>
      <c r="H17" s="36"/>
      <c r="I17" s="36"/>
      <c r="J17" s="316"/>
      <c r="K17" s="316"/>
      <c r="L17" s="316"/>
      <c r="M17" s="316"/>
      <c r="N17" s="316"/>
      <c r="O17" s="316"/>
      <c r="P17" s="316"/>
      <c r="Q17" s="316"/>
      <c r="R17" s="316"/>
    </row>
    <row r="18" spans="1:18" ht="15.95" thickBot="1">
      <c r="B18" s="36"/>
      <c r="C18" s="36"/>
      <c r="D18" s="36"/>
      <c r="E18" s="36"/>
      <c r="F18" s="36"/>
      <c r="G18" s="36"/>
      <c r="H18" s="36"/>
      <c r="I18" s="36"/>
      <c r="J18" s="316"/>
      <c r="K18" s="316"/>
      <c r="L18" s="316"/>
      <c r="M18" s="316"/>
      <c r="N18" s="316"/>
      <c r="O18" s="316"/>
      <c r="P18" s="316"/>
      <c r="Q18" s="316"/>
      <c r="R18" s="316"/>
    </row>
    <row r="19" spans="1:18">
      <c r="A19" s="682" t="s">
        <v>3</v>
      </c>
      <c r="B19" s="683"/>
      <c r="C19" s="684"/>
      <c r="D19" s="684"/>
      <c r="E19" s="684"/>
      <c r="F19" s="684"/>
      <c r="G19" s="684"/>
      <c r="H19" s="684"/>
      <c r="I19" s="685"/>
      <c r="J19" s="316"/>
      <c r="K19" s="316"/>
      <c r="L19" s="316"/>
      <c r="M19" s="316"/>
      <c r="N19" s="316"/>
      <c r="O19" s="316"/>
      <c r="P19" s="316"/>
      <c r="Q19" s="316"/>
      <c r="R19" s="316"/>
    </row>
    <row r="20" spans="1:18">
      <c r="A20" s="662" t="s">
        <v>4</v>
      </c>
      <c r="B20" s="663"/>
      <c r="C20" s="678"/>
      <c r="D20" s="678"/>
      <c r="E20" s="678"/>
      <c r="F20" s="678"/>
      <c r="G20" s="678"/>
      <c r="H20" s="678"/>
      <c r="I20" s="679"/>
      <c r="J20" s="316"/>
      <c r="K20" s="316"/>
      <c r="L20" s="316"/>
      <c r="M20" s="316"/>
      <c r="N20" s="316"/>
      <c r="O20" s="316"/>
      <c r="P20" s="316"/>
      <c r="Q20" s="316"/>
      <c r="R20" s="316"/>
    </row>
    <row r="21" spans="1:18">
      <c r="A21" s="662" t="s">
        <v>5</v>
      </c>
      <c r="B21" s="663"/>
      <c r="C21" s="678"/>
      <c r="D21" s="678"/>
      <c r="E21" s="678"/>
      <c r="F21" s="678"/>
      <c r="G21" s="678"/>
      <c r="H21" s="678"/>
      <c r="I21" s="679"/>
      <c r="J21" s="316"/>
      <c r="K21" s="316"/>
      <c r="L21" s="316"/>
      <c r="M21" s="316"/>
      <c r="N21" s="316"/>
      <c r="O21" s="316"/>
      <c r="P21" s="316"/>
      <c r="Q21" s="316"/>
      <c r="R21" s="316"/>
    </row>
    <row r="22" spans="1:18" ht="14.45" customHeight="1">
      <c r="A22" s="662" t="s">
        <v>6</v>
      </c>
      <c r="B22" s="663"/>
      <c r="C22" s="678"/>
      <c r="D22" s="678"/>
      <c r="E22" s="678"/>
      <c r="F22" s="678"/>
      <c r="G22" s="678"/>
      <c r="H22" s="678"/>
      <c r="I22" s="679"/>
      <c r="J22" s="316"/>
      <c r="K22" s="316"/>
      <c r="L22" s="316"/>
      <c r="M22" s="316"/>
      <c r="N22" s="316"/>
      <c r="O22" s="316"/>
      <c r="P22" s="316"/>
      <c r="Q22" s="316"/>
      <c r="R22" s="316"/>
    </row>
    <row r="23" spans="1:18">
      <c r="A23" s="662" t="s">
        <v>7</v>
      </c>
      <c r="B23" s="663"/>
      <c r="C23" s="678"/>
      <c r="D23" s="678"/>
      <c r="E23" s="678"/>
      <c r="F23" s="678"/>
      <c r="G23" s="678"/>
      <c r="H23" s="678"/>
      <c r="I23" s="679"/>
      <c r="J23" s="316"/>
      <c r="K23" s="316"/>
      <c r="L23" s="316"/>
      <c r="M23" s="316"/>
      <c r="N23" s="316"/>
      <c r="O23" s="316"/>
      <c r="P23" s="316"/>
      <c r="Q23" s="316"/>
      <c r="R23" s="316"/>
    </row>
    <row r="24" spans="1:18">
      <c r="A24" s="662" t="s">
        <v>8</v>
      </c>
      <c r="B24" s="663"/>
      <c r="C24" s="678"/>
      <c r="D24" s="678"/>
      <c r="E24" s="678"/>
      <c r="F24" s="678"/>
      <c r="G24" s="678"/>
      <c r="H24" s="678"/>
      <c r="I24" s="679"/>
      <c r="J24" s="316"/>
      <c r="K24" s="316"/>
      <c r="L24" s="316"/>
      <c r="M24" s="316"/>
      <c r="N24" s="316"/>
      <c r="O24" s="316"/>
      <c r="P24" s="316"/>
      <c r="Q24" s="316"/>
      <c r="R24" s="316"/>
    </row>
    <row r="25" spans="1:18">
      <c r="A25" s="662" t="s">
        <v>9</v>
      </c>
      <c r="B25" s="663"/>
      <c r="C25" s="678"/>
      <c r="D25" s="678"/>
      <c r="E25" s="678"/>
      <c r="F25" s="678"/>
      <c r="G25" s="678"/>
      <c r="H25" s="678"/>
      <c r="I25" s="679"/>
      <c r="J25" s="316"/>
      <c r="K25" s="316"/>
      <c r="L25" s="316"/>
      <c r="M25" s="316"/>
      <c r="N25" s="316"/>
      <c r="O25" s="316"/>
      <c r="P25" s="316"/>
      <c r="Q25" s="316"/>
      <c r="R25" s="316"/>
    </row>
    <row r="26" spans="1:18">
      <c r="A26" s="662" t="s">
        <v>10</v>
      </c>
      <c r="B26" s="663"/>
      <c r="C26" s="678"/>
      <c r="D26" s="678"/>
      <c r="E26" s="678"/>
      <c r="F26" s="678"/>
      <c r="G26" s="678"/>
      <c r="H26" s="678"/>
      <c r="I26" s="679"/>
      <c r="J26" s="316"/>
      <c r="K26" s="316"/>
      <c r="L26" s="316"/>
      <c r="M26" s="316"/>
      <c r="N26" s="316"/>
      <c r="O26" s="316"/>
      <c r="P26" s="316"/>
      <c r="Q26" s="316"/>
      <c r="R26" s="316"/>
    </row>
    <row r="27" spans="1:18" ht="19.350000000000001" customHeight="1">
      <c r="A27" s="662" t="s">
        <v>11</v>
      </c>
      <c r="B27" s="663"/>
      <c r="C27" s="664" t="s">
        <v>12</v>
      </c>
      <c r="D27" s="664"/>
      <c r="E27" s="664"/>
      <c r="F27" s="664"/>
      <c r="G27" s="664"/>
      <c r="H27" s="664"/>
      <c r="I27" s="665"/>
      <c r="J27" s="316"/>
      <c r="K27" s="316"/>
      <c r="L27" s="316"/>
      <c r="M27" s="316"/>
      <c r="N27" s="316"/>
      <c r="O27" s="316"/>
      <c r="P27" s="316"/>
      <c r="Q27" s="316"/>
      <c r="R27" s="316"/>
    </row>
    <row r="28" spans="1:18" ht="33" customHeight="1" thickBot="1">
      <c r="A28" s="666" t="s">
        <v>13</v>
      </c>
      <c r="B28" s="667"/>
      <c r="C28" s="668" t="s">
        <v>14</v>
      </c>
      <c r="D28" s="668"/>
      <c r="E28" s="668"/>
      <c r="F28" s="668"/>
      <c r="G28" s="668"/>
      <c r="H28" s="668"/>
      <c r="I28" s="669"/>
      <c r="J28" s="316"/>
      <c r="K28" s="316"/>
      <c r="L28" s="316"/>
      <c r="M28" s="316"/>
      <c r="N28" s="316"/>
      <c r="O28" s="316"/>
      <c r="P28" s="316"/>
      <c r="Q28" s="316"/>
      <c r="R28" s="316"/>
    </row>
    <row r="29" spans="1:18">
      <c r="A29" s="36"/>
      <c r="B29" s="36"/>
      <c r="C29" s="36"/>
      <c r="D29" s="36"/>
      <c r="E29" s="36"/>
      <c r="F29" s="36"/>
      <c r="G29" s="36"/>
      <c r="H29" s="36"/>
      <c r="I29" s="36"/>
      <c r="J29" s="316"/>
      <c r="K29" s="316"/>
      <c r="L29" s="316"/>
      <c r="M29" s="316"/>
      <c r="N29" s="316"/>
      <c r="O29" s="316"/>
      <c r="P29" s="316"/>
      <c r="Q29" s="316"/>
      <c r="R29" s="316"/>
    </row>
    <row r="30" spans="1:18" ht="15.95" thickBot="1">
      <c r="A30" s="670" t="s">
        <v>15</v>
      </c>
      <c r="B30" s="670"/>
      <c r="C30" s="670"/>
      <c r="D30" s="670"/>
      <c r="E30" s="670"/>
      <c r="F30" s="670"/>
      <c r="G30" s="670"/>
      <c r="H30" s="670"/>
      <c r="I30" s="670"/>
      <c r="J30" s="316"/>
      <c r="K30" s="316"/>
      <c r="L30" s="316"/>
      <c r="M30" s="316"/>
      <c r="N30" s="316"/>
      <c r="O30" s="316"/>
      <c r="P30" s="316"/>
      <c r="Q30" s="316"/>
      <c r="R30" s="316"/>
    </row>
    <row r="31" spans="1:18" ht="14.45" customHeight="1">
      <c r="A31" s="671" t="s">
        <v>16</v>
      </c>
      <c r="B31" s="672"/>
      <c r="C31" s="655" t="s">
        <v>17</v>
      </c>
      <c r="D31" s="655"/>
      <c r="E31" s="676" t="s">
        <v>18</v>
      </c>
      <c r="F31" s="676"/>
      <c r="G31" s="657" t="s">
        <v>19</v>
      </c>
      <c r="H31" s="657"/>
      <c r="I31" s="659" t="s">
        <v>20</v>
      </c>
      <c r="J31" s="316"/>
      <c r="K31" s="316"/>
      <c r="L31" s="316"/>
      <c r="M31" s="316"/>
      <c r="N31" s="316"/>
      <c r="O31" s="316"/>
      <c r="P31" s="316"/>
      <c r="Q31" s="316"/>
      <c r="R31" s="316"/>
    </row>
    <row r="32" spans="1:18" ht="15.95" thickBot="1">
      <c r="A32" s="673"/>
      <c r="B32" s="674"/>
      <c r="C32" s="675"/>
      <c r="D32" s="675"/>
      <c r="E32" s="677"/>
      <c r="F32" s="677"/>
      <c r="G32" s="658"/>
      <c r="H32" s="658"/>
      <c r="I32" s="660"/>
      <c r="J32" s="316"/>
      <c r="K32" s="316"/>
      <c r="L32" s="316"/>
      <c r="M32" s="316"/>
      <c r="N32" s="316"/>
      <c r="O32" s="316"/>
      <c r="P32" s="316"/>
      <c r="Q32" s="316"/>
      <c r="R32" s="316"/>
    </row>
    <row r="33" spans="1:18">
      <c r="A33" s="655"/>
      <c r="B33" s="655"/>
      <c r="C33" s="655"/>
      <c r="D33" s="655"/>
      <c r="E33" s="655"/>
      <c r="F33" s="655"/>
      <c r="G33" s="655"/>
      <c r="H33" s="655"/>
      <c r="I33" s="655"/>
      <c r="J33" s="316"/>
      <c r="K33" s="316"/>
      <c r="L33" s="316"/>
      <c r="M33" s="316"/>
      <c r="N33" s="316"/>
      <c r="O33" s="316"/>
      <c r="P33" s="316"/>
      <c r="Q33" s="316"/>
      <c r="R33" s="316"/>
    </row>
    <row r="34" spans="1:18">
      <c r="A34" s="656"/>
      <c r="B34" s="656"/>
      <c r="C34" s="656"/>
      <c r="D34" s="656"/>
      <c r="E34" s="656"/>
      <c r="F34" s="656"/>
      <c r="G34" s="656"/>
      <c r="H34" s="656"/>
      <c r="I34" s="656"/>
      <c r="J34" s="316"/>
      <c r="K34" s="316"/>
      <c r="L34" s="316"/>
      <c r="M34" s="316"/>
      <c r="N34" s="316"/>
      <c r="O34" s="316"/>
      <c r="P34" s="316"/>
      <c r="Q34" s="316"/>
      <c r="R34" s="316"/>
    </row>
    <row r="35" spans="1:18">
      <c r="A35" s="656"/>
      <c r="B35" s="656"/>
      <c r="C35" s="656"/>
      <c r="D35" s="656"/>
      <c r="E35" s="656"/>
      <c r="F35" s="656"/>
      <c r="G35" s="656"/>
      <c r="H35" s="656"/>
      <c r="I35" s="656"/>
      <c r="J35" s="316"/>
      <c r="K35" s="316"/>
      <c r="L35" s="316"/>
      <c r="M35" s="316"/>
      <c r="N35" s="316"/>
      <c r="O35" s="316"/>
      <c r="P35" s="316"/>
      <c r="Q35" s="316"/>
      <c r="R35" s="316"/>
    </row>
    <row r="36" spans="1:18">
      <c r="A36" s="83"/>
      <c r="B36" s="83"/>
      <c r="C36" s="36"/>
      <c r="D36" s="36"/>
      <c r="E36" s="36"/>
      <c r="F36" s="36"/>
      <c r="G36" s="36"/>
      <c r="H36" s="36"/>
      <c r="I36" s="36"/>
      <c r="J36" s="316"/>
      <c r="K36" s="316"/>
      <c r="L36" s="316"/>
      <c r="M36" s="316"/>
      <c r="N36" s="316"/>
      <c r="O36" s="316"/>
      <c r="P36" s="316"/>
      <c r="Q36" s="316"/>
      <c r="R36" s="316"/>
    </row>
    <row r="37" spans="1:18">
      <c r="A37" s="36"/>
      <c r="B37" s="36"/>
      <c r="C37" s="36"/>
      <c r="D37" s="36"/>
      <c r="E37" s="36"/>
      <c r="F37" s="36"/>
      <c r="G37" s="36"/>
      <c r="H37" s="36"/>
      <c r="I37" s="36"/>
      <c r="J37" s="316"/>
      <c r="K37" s="316"/>
      <c r="L37" s="316"/>
      <c r="M37" s="316"/>
      <c r="N37" s="316"/>
      <c r="O37" s="316"/>
      <c r="P37" s="316"/>
      <c r="Q37" s="316"/>
      <c r="R37" s="316"/>
    </row>
    <row r="38" spans="1:18">
      <c r="A38" s="36"/>
      <c r="B38" s="36"/>
      <c r="C38" s="36"/>
      <c r="D38" s="36"/>
      <c r="E38" s="36"/>
      <c r="F38" s="36"/>
      <c r="G38" s="36"/>
      <c r="H38" s="36"/>
      <c r="I38" s="36"/>
      <c r="J38" s="316"/>
      <c r="K38" s="316"/>
      <c r="L38" s="316"/>
      <c r="M38" s="316"/>
      <c r="N38" s="316"/>
      <c r="O38" s="316"/>
      <c r="P38" s="316"/>
      <c r="Q38" s="316"/>
      <c r="R38" s="316"/>
    </row>
    <row r="39" spans="1:18">
      <c r="A39" s="36"/>
      <c r="B39" s="36"/>
      <c r="C39" s="36"/>
      <c r="D39" s="36"/>
      <c r="E39" s="36"/>
      <c r="F39" s="36"/>
      <c r="G39" s="36"/>
      <c r="H39" s="36"/>
      <c r="I39" s="36"/>
      <c r="J39" s="316"/>
      <c r="K39" s="316"/>
      <c r="L39" s="316"/>
      <c r="M39" s="316"/>
      <c r="N39" s="316"/>
      <c r="O39" s="316"/>
      <c r="P39" s="316"/>
      <c r="Q39" s="316"/>
      <c r="R39" s="316"/>
    </row>
    <row r="40" spans="1:18">
      <c r="A40" s="36"/>
      <c r="B40" s="36"/>
      <c r="C40" s="36"/>
      <c r="D40" s="36"/>
      <c r="E40" s="36"/>
      <c r="F40" s="36"/>
      <c r="G40" s="36"/>
      <c r="H40" s="36"/>
      <c r="I40" s="36"/>
      <c r="J40" s="316"/>
      <c r="K40" s="316"/>
      <c r="L40" s="316"/>
      <c r="M40" s="316"/>
      <c r="N40" s="316"/>
      <c r="O40" s="316"/>
      <c r="P40" s="316"/>
      <c r="Q40" s="316"/>
      <c r="R40" s="316"/>
    </row>
    <row r="41" spans="1:18">
      <c r="A41" s="36"/>
      <c r="B41" s="36"/>
      <c r="C41" s="36"/>
      <c r="D41" s="36"/>
      <c r="E41" s="36"/>
      <c r="F41" s="36"/>
      <c r="G41" s="36"/>
      <c r="H41" s="36"/>
      <c r="I41" s="36"/>
      <c r="J41" s="316"/>
      <c r="K41" s="316"/>
      <c r="L41" s="316"/>
      <c r="M41" s="316"/>
      <c r="N41" s="316"/>
      <c r="O41" s="316"/>
      <c r="P41" s="316"/>
      <c r="Q41" s="316"/>
      <c r="R41" s="316"/>
    </row>
    <row r="42" spans="1:18">
      <c r="A42" s="36"/>
      <c r="B42" s="36"/>
      <c r="C42" s="36"/>
      <c r="D42" s="36"/>
      <c r="E42" s="36"/>
      <c r="F42" s="36"/>
      <c r="G42" s="36"/>
      <c r="H42" s="36"/>
      <c r="I42" s="36"/>
      <c r="J42" s="316"/>
      <c r="K42" s="316"/>
      <c r="L42" s="316"/>
      <c r="M42" s="316"/>
      <c r="N42" s="316"/>
      <c r="O42" s="316"/>
      <c r="P42" s="316"/>
      <c r="Q42" s="316"/>
      <c r="R42" s="316"/>
    </row>
    <row r="43" spans="1:18">
      <c r="A43" s="36"/>
      <c r="B43" s="36"/>
      <c r="C43" s="36"/>
      <c r="D43" s="36"/>
      <c r="E43" s="36"/>
      <c r="F43" s="36"/>
      <c r="G43" s="36"/>
      <c r="H43" s="36"/>
      <c r="I43" s="36"/>
    </row>
    <row r="44" spans="1:18">
      <c r="A44" s="36"/>
      <c r="B44" s="36"/>
      <c r="C44" s="36"/>
      <c r="D44" s="36"/>
      <c r="E44" s="36"/>
      <c r="F44" s="36"/>
      <c r="G44" s="36"/>
      <c r="H44" s="36"/>
      <c r="I44" s="36"/>
    </row>
    <row r="45" spans="1:18">
      <c r="A45" s="36"/>
      <c r="B45" s="36"/>
      <c r="C45" s="36"/>
      <c r="D45" s="36"/>
      <c r="E45" s="36"/>
      <c r="F45" s="36"/>
      <c r="G45" s="36"/>
      <c r="H45" s="36"/>
      <c r="I45" s="36"/>
    </row>
    <row r="46" spans="1:18">
      <c r="A46" s="36"/>
      <c r="B46" s="36"/>
      <c r="C46" s="36"/>
      <c r="D46" s="36"/>
      <c r="E46" s="36"/>
      <c r="F46" s="36"/>
      <c r="G46" s="36"/>
      <c r="H46" s="36"/>
      <c r="I46" s="36"/>
    </row>
  </sheetData>
  <mergeCells count="30">
    <mergeCell ref="A26:B26"/>
    <mergeCell ref="C26:I26"/>
    <mergeCell ref="A6:I6"/>
    <mergeCell ref="A8:I10"/>
    <mergeCell ref="A22:B22"/>
    <mergeCell ref="C22:I22"/>
    <mergeCell ref="A23:B23"/>
    <mergeCell ref="C23:I23"/>
    <mergeCell ref="A19:B19"/>
    <mergeCell ref="C19:I19"/>
    <mergeCell ref="A20:B20"/>
    <mergeCell ref="C20:I20"/>
    <mergeCell ref="A21:B21"/>
    <mergeCell ref="C21:I21"/>
    <mergeCell ref="A33:I35"/>
    <mergeCell ref="G31:H32"/>
    <mergeCell ref="I31:I32"/>
    <mergeCell ref="A7:I7"/>
    <mergeCell ref="A27:B27"/>
    <mergeCell ref="C27:I27"/>
    <mergeCell ref="A28:B28"/>
    <mergeCell ref="C28:I28"/>
    <mergeCell ref="A30:I30"/>
    <mergeCell ref="A31:B32"/>
    <mergeCell ref="C31:D32"/>
    <mergeCell ref="E31:F32"/>
    <mergeCell ref="A24:B24"/>
    <mergeCell ref="C24:I24"/>
    <mergeCell ref="A25:B25"/>
    <mergeCell ref="C25:I2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CC"/>
    <outlinePr summaryBelow="0" summaryRight="0"/>
  </sheetPr>
  <dimension ref="A1:G75"/>
  <sheetViews>
    <sheetView showRowColHeaders="0" view="pageBreakPreview" zoomScale="106" zoomScaleNormal="85" zoomScaleSheetLayoutView="106" workbookViewId="0" xr3:uid="{7BE570AB-09E9-518F-B8F7-3F91B7162CA9}">
      <selection activeCell="G5" sqref="G5"/>
    </sheetView>
  </sheetViews>
  <sheetFormatPr defaultColWidth="8.85546875" defaultRowHeight="15" outlineLevelRow="2"/>
  <cols>
    <col min="1" max="1" width="22.42578125" customWidth="1"/>
    <col min="2" max="2" width="23.28515625" customWidth="1"/>
    <col min="3" max="3" width="22.42578125" customWidth="1"/>
    <col min="5" max="5" width="17.85546875" customWidth="1"/>
    <col min="6" max="6" width="18.7109375" customWidth="1"/>
    <col min="7" max="7" width="21.85546875" customWidth="1"/>
  </cols>
  <sheetData>
    <row r="1" spans="1:7" ht="47.25" customHeight="1">
      <c r="A1" s="747" t="s">
        <v>205</v>
      </c>
      <c r="B1" s="747"/>
      <c r="C1" s="747"/>
      <c r="D1" s="748"/>
      <c r="E1" s="70" t="s">
        <v>120</v>
      </c>
      <c r="F1" s="286" t="s">
        <v>206</v>
      </c>
      <c r="G1" s="286" t="s">
        <v>207</v>
      </c>
    </row>
    <row r="2" spans="1:7" ht="15.95" collapsed="1" thickBot="1">
      <c r="A2" s="40" t="s">
        <v>208</v>
      </c>
      <c r="B2" s="75" t="s">
        <v>209</v>
      </c>
      <c r="C2" s="75" t="s">
        <v>210</v>
      </c>
      <c r="D2" s="75" t="s">
        <v>106</v>
      </c>
      <c r="E2" s="17"/>
      <c r="F2" s="17"/>
      <c r="G2" s="17"/>
    </row>
    <row r="3" spans="1:7" ht="15.95" thickBot="1">
      <c r="A3" s="745" t="s">
        <v>211</v>
      </c>
      <c r="B3" s="746"/>
      <c r="C3" s="746"/>
      <c r="D3" s="80"/>
      <c r="E3" s="77">
        <f>E4+E25</f>
        <v>53820672.799999997</v>
      </c>
      <c r="F3" s="745"/>
      <c r="G3" s="746"/>
    </row>
    <row r="4" spans="1:7" ht="15.95" outlineLevel="1" thickBot="1">
      <c r="A4" s="17" t="s">
        <v>212</v>
      </c>
      <c r="B4" s="17"/>
      <c r="C4" s="17"/>
      <c r="D4" s="28"/>
      <c r="E4" s="125">
        <f>SUM(E5:E24)</f>
        <v>18001760.800000001</v>
      </c>
      <c r="F4" s="28"/>
      <c r="G4" s="28"/>
    </row>
    <row r="5" spans="1:7" ht="15.95" outlineLevel="2">
      <c r="A5" s="749" t="s">
        <v>213</v>
      </c>
      <c r="B5" s="750" t="s">
        <v>214</v>
      </c>
      <c r="C5" s="750">
        <v>635009</v>
      </c>
      <c r="D5" s="67" t="s">
        <v>110</v>
      </c>
      <c r="E5" s="65">
        <f>F5+G5</f>
        <v>1800176.08</v>
      </c>
      <c r="F5" s="121">
        <v>292367</v>
      </c>
      <c r="G5" s="121">
        <v>1507809.08</v>
      </c>
    </row>
    <row r="6" spans="1:7" ht="15.95" outlineLevel="2">
      <c r="A6" s="749"/>
      <c r="B6" s="750"/>
      <c r="C6" s="750"/>
      <c r="D6" s="68" t="s">
        <v>111</v>
      </c>
      <c r="E6" s="65">
        <f t="shared" ref="E6:E14" si="0">F6+G6</f>
        <v>1800176.08</v>
      </c>
      <c r="F6" s="121">
        <v>292367</v>
      </c>
      <c r="G6" s="121">
        <v>1507809.08</v>
      </c>
    </row>
    <row r="7" spans="1:7" ht="15.95" outlineLevel="2">
      <c r="A7" s="749"/>
      <c r="B7" s="750"/>
      <c r="C7" s="750"/>
      <c r="D7" s="68" t="s">
        <v>112</v>
      </c>
      <c r="E7" s="65">
        <f t="shared" si="0"/>
        <v>1800176.08</v>
      </c>
      <c r="F7" s="121">
        <v>292367</v>
      </c>
      <c r="G7" s="121">
        <v>1507809.08</v>
      </c>
    </row>
    <row r="8" spans="1:7" ht="15.95" outlineLevel="2">
      <c r="A8" s="749"/>
      <c r="B8" s="750"/>
      <c r="C8" s="750"/>
      <c r="D8" s="68" t="s">
        <v>113</v>
      </c>
      <c r="E8" s="65">
        <f t="shared" si="0"/>
        <v>1800176.08</v>
      </c>
      <c r="F8" s="121">
        <v>292367</v>
      </c>
      <c r="G8" s="121">
        <v>1507809.08</v>
      </c>
    </row>
    <row r="9" spans="1:7" ht="15.95" outlineLevel="2">
      <c r="A9" s="749"/>
      <c r="B9" s="750"/>
      <c r="C9" s="750"/>
      <c r="D9" s="68" t="s">
        <v>114</v>
      </c>
      <c r="E9" s="65">
        <f t="shared" si="0"/>
        <v>1800176.08</v>
      </c>
      <c r="F9" s="121">
        <v>292367</v>
      </c>
      <c r="G9" s="121">
        <v>1507809.08</v>
      </c>
    </row>
    <row r="10" spans="1:7" ht="15.95" outlineLevel="2">
      <c r="A10" s="749"/>
      <c r="B10" s="750"/>
      <c r="C10" s="750"/>
      <c r="D10" s="68" t="s">
        <v>115</v>
      </c>
      <c r="E10" s="65">
        <f t="shared" si="0"/>
        <v>1800176.08</v>
      </c>
      <c r="F10" s="121">
        <v>292367</v>
      </c>
      <c r="G10" s="121">
        <v>1507809.08</v>
      </c>
    </row>
    <row r="11" spans="1:7" ht="15.95" outlineLevel="2">
      <c r="A11" s="749"/>
      <c r="B11" s="750"/>
      <c r="C11" s="750"/>
      <c r="D11" s="68" t="s">
        <v>116</v>
      </c>
      <c r="E11" s="65">
        <f t="shared" si="0"/>
        <v>1800176.08</v>
      </c>
      <c r="F11" s="121">
        <v>292367</v>
      </c>
      <c r="G11" s="121">
        <v>1507809.08</v>
      </c>
    </row>
    <row r="12" spans="1:7" ht="15.95" outlineLevel="2">
      <c r="A12" s="749"/>
      <c r="B12" s="750"/>
      <c r="C12" s="750"/>
      <c r="D12" s="68" t="s">
        <v>117</v>
      </c>
      <c r="E12" s="65">
        <f t="shared" si="0"/>
        <v>1800176.08</v>
      </c>
      <c r="F12" s="121">
        <v>292367</v>
      </c>
      <c r="G12" s="121">
        <v>1507809.08</v>
      </c>
    </row>
    <row r="13" spans="1:7" ht="15.95" outlineLevel="2">
      <c r="A13" s="749"/>
      <c r="B13" s="750"/>
      <c r="C13" s="750"/>
      <c r="D13" s="68" t="s">
        <v>118</v>
      </c>
      <c r="E13" s="65">
        <f t="shared" si="0"/>
        <v>1800176.08</v>
      </c>
      <c r="F13" s="121">
        <v>292367</v>
      </c>
      <c r="G13" s="121">
        <v>1507809.08</v>
      </c>
    </row>
    <row r="14" spans="1:7" ht="15.95" outlineLevel="2">
      <c r="A14" s="749"/>
      <c r="B14" s="750"/>
      <c r="C14" s="750"/>
      <c r="D14" s="69" t="s">
        <v>119</v>
      </c>
      <c r="E14" s="66">
        <f t="shared" si="0"/>
        <v>1800176.08</v>
      </c>
      <c r="F14" s="123">
        <v>292367</v>
      </c>
      <c r="G14" s="123">
        <v>1507809.08</v>
      </c>
    </row>
    <row r="15" spans="1:7" ht="15.95" outlineLevel="2">
      <c r="A15" s="749" t="s">
        <v>215</v>
      </c>
      <c r="B15" s="750" t="s">
        <v>216</v>
      </c>
      <c r="C15" s="750">
        <v>718006</v>
      </c>
      <c r="D15" s="67" t="s">
        <v>110</v>
      </c>
      <c r="E15" s="65">
        <f>F15+G15</f>
        <v>0</v>
      </c>
      <c r="F15" s="575">
        <v>0</v>
      </c>
      <c r="G15" s="575">
        <v>0</v>
      </c>
    </row>
    <row r="16" spans="1:7" ht="15.95" outlineLevel="2">
      <c r="A16" s="749"/>
      <c r="B16" s="750"/>
      <c r="C16" s="750"/>
      <c r="D16" s="68" t="s">
        <v>111</v>
      </c>
      <c r="E16" s="65">
        <f>F16+G16</f>
        <v>0</v>
      </c>
      <c r="F16" s="121">
        <v>0</v>
      </c>
      <c r="G16" s="121">
        <v>0</v>
      </c>
    </row>
    <row r="17" spans="1:7" ht="15.95" outlineLevel="2">
      <c r="A17" s="749"/>
      <c r="B17" s="750"/>
      <c r="C17" s="750"/>
      <c r="D17" s="68" t="s">
        <v>112</v>
      </c>
      <c r="E17" s="65">
        <f t="shared" ref="E17:E23" si="1">F17+G17</f>
        <v>0</v>
      </c>
      <c r="F17" s="121">
        <v>0</v>
      </c>
      <c r="G17" s="121">
        <v>0</v>
      </c>
    </row>
    <row r="18" spans="1:7" ht="15.95" outlineLevel="2">
      <c r="A18" s="749"/>
      <c r="B18" s="750"/>
      <c r="C18" s="750"/>
      <c r="D18" s="68" t="s">
        <v>113</v>
      </c>
      <c r="E18" s="65">
        <f t="shared" si="1"/>
        <v>0</v>
      </c>
      <c r="F18" s="121">
        <v>0</v>
      </c>
      <c r="G18" s="121">
        <v>0</v>
      </c>
    </row>
    <row r="19" spans="1:7" ht="15.95" outlineLevel="2">
      <c r="A19" s="749"/>
      <c r="B19" s="750"/>
      <c r="C19" s="750"/>
      <c r="D19" s="68" t="s">
        <v>114</v>
      </c>
      <c r="E19" s="65">
        <f t="shared" si="1"/>
        <v>0</v>
      </c>
      <c r="F19" s="121">
        <v>0</v>
      </c>
      <c r="G19" s="121">
        <v>0</v>
      </c>
    </row>
    <row r="20" spans="1:7" ht="15.95" outlineLevel="2">
      <c r="A20" s="749"/>
      <c r="B20" s="750"/>
      <c r="C20" s="750"/>
      <c r="D20" s="68" t="s">
        <v>115</v>
      </c>
      <c r="E20" s="65">
        <f t="shared" si="1"/>
        <v>0</v>
      </c>
      <c r="F20" s="121">
        <v>0</v>
      </c>
      <c r="G20" s="121">
        <v>0</v>
      </c>
    </row>
    <row r="21" spans="1:7" ht="15.95" outlineLevel="2">
      <c r="A21" s="749"/>
      <c r="B21" s="750"/>
      <c r="C21" s="750"/>
      <c r="D21" s="68" t="s">
        <v>116</v>
      </c>
      <c r="E21" s="65">
        <f t="shared" si="1"/>
        <v>0</v>
      </c>
      <c r="F21" s="121">
        <v>0</v>
      </c>
      <c r="G21" s="121">
        <v>0</v>
      </c>
    </row>
    <row r="22" spans="1:7" ht="15.95" outlineLevel="2">
      <c r="A22" s="749"/>
      <c r="B22" s="750"/>
      <c r="C22" s="750"/>
      <c r="D22" s="68" t="s">
        <v>117</v>
      </c>
      <c r="E22" s="65">
        <f t="shared" si="1"/>
        <v>0</v>
      </c>
      <c r="F22" s="121">
        <v>0</v>
      </c>
      <c r="G22" s="121">
        <v>0</v>
      </c>
    </row>
    <row r="23" spans="1:7" ht="15.95" outlineLevel="2">
      <c r="A23" s="749"/>
      <c r="B23" s="750"/>
      <c r="C23" s="750"/>
      <c r="D23" s="68" t="s">
        <v>118</v>
      </c>
      <c r="E23" s="65">
        <f t="shared" si="1"/>
        <v>0</v>
      </c>
      <c r="F23" s="121">
        <v>0</v>
      </c>
      <c r="G23" s="121">
        <v>0</v>
      </c>
    </row>
    <row r="24" spans="1:7" ht="17.100000000000001" outlineLevel="2" thickBot="1">
      <c r="A24" s="749"/>
      <c r="B24" s="750"/>
      <c r="C24" s="750"/>
      <c r="D24" s="69" t="s">
        <v>119</v>
      </c>
      <c r="E24" s="66">
        <f>F24+G24</f>
        <v>0</v>
      </c>
      <c r="F24" s="121">
        <v>0</v>
      </c>
      <c r="G24" s="121">
        <v>0</v>
      </c>
    </row>
    <row r="25" spans="1:7" ht="15.95" outlineLevel="1" thickBot="1">
      <c r="A25" s="17" t="s">
        <v>81</v>
      </c>
      <c r="B25" s="17"/>
      <c r="C25" s="17"/>
      <c r="D25" s="28"/>
      <c r="E25" s="127">
        <f>SUM(E26:E75)</f>
        <v>35818912</v>
      </c>
      <c r="F25" s="17"/>
      <c r="G25" s="17"/>
    </row>
    <row r="26" spans="1:7" ht="15.95" outlineLevel="2">
      <c r="A26" s="749" t="s">
        <v>217</v>
      </c>
      <c r="B26" s="750" t="s">
        <v>214</v>
      </c>
      <c r="C26" s="750">
        <v>635009</v>
      </c>
      <c r="D26" s="67" t="s">
        <v>110</v>
      </c>
      <c r="E26" s="65">
        <f>F26+G26</f>
        <v>3581891.2</v>
      </c>
      <c r="F26" s="121">
        <v>623001.59999999998</v>
      </c>
      <c r="G26" s="121">
        <v>2958889.6</v>
      </c>
    </row>
    <row r="27" spans="1:7" ht="15.95" outlineLevel="2">
      <c r="A27" s="749"/>
      <c r="B27" s="750"/>
      <c r="C27" s="750"/>
      <c r="D27" s="68" t="s">
        <v>111</v>
      </c>
      <c r="E27" s="65">
        <f>F27+G27</f>
        <v>3581891.2</v>
      </c>
      <c r="F27" s="121">
        <v>623001.59999999998</v>
      </c>
      <c r="G27" s="121">
        <v>2958889.6</v>
      </c>
    </row>
    <row r="28" spans="1:7" ht="15.95" outlineLevel="2">
      <c r="A28" s="749"/>
      <c r="B28" s="750"/>
      <c r="C28" s="750"/>
      <c r="D28" s="68" t="s">
        <v>112</v>
      </c>
      <c r="E28" s="65">
        <f t="shared" ref="E28:E34" si="2">F28+G28</f>
        <v>3581891.2</v>
      </c>
      <c r="F28" s="121">
        <v>623001.59999999998</v>
      </c>
      <c r="G28" s="121">
        <v>2958889.6</v>
      </c>
    </row>
    <row r="29" spans="1:7" ht="15.95" outlineLevel="2">
      <c r="A29" s="749"/>
      <c r="B29" s="750"/>
      <c r="C29" s="750"/>
      <c r="D29" s="68" t="s">
        <v>113</v>
      </c>
      <c r="E29" s="65">
        <f t="shared" si="2"/>
        <v>3581891.2</v>
      </c>
      <c r="F29" s="121">
        <v>623001.59999999998</v>
      </c>
      <c r="G29" s="121">
        <v>2958889.6</v>
      </c>
    </row>
    <row r="30" spans="1:7" ht="15.95" outlineLevel="2">
      <c r="A30" s="749"/>
      <c r="B30" s="750"/>
      <c r="C30" s="750"/>
      <c r="D30" s="68" t="s">
        <v>114</v>
      </c>
      <c r="E30" s="65">
        <f t="shared" si="2"/>
        <v>3581891.2</v>
      </c>
      <c r="F30" s="121">
        <v>623001.59999999998</v>
      </c>
      <c r="G30" s="121">
        <v>2958889.6</v>
      </c>
    </row>
    <row r="31" spans="1:7" ht="15.95" outlineLevel="2">
      <c r="A31" s="749"/>
      <c r="B31" s="750"/>
      <c r="C31" s="750"/>
      <c r="D31" s="68" t="s">
        <v>115</v>
      </c>
      <c r="E31" s="65">
        <f t="shared" si="2"/>
        <v>3581891.2</v>
      </c>
      <c r="F31" s="121">
        <v>623001.59999999998</v>
      </c>
      <c r="G31" s="121">
        <v>2958889.6</v>
      </c>
    </row>
    <row r="32" spans="1:7" ht="15.95" outlineLevel="2">
      <c r="A32" s="749"/>
      <c r="B32" s="750"/>
      <c r="C32" s="750"/>
      <c r="D32" s="68" t="s">
        <v>116</v>
      </c>
      <c r="E32" s="65">
        <f t="shared" si="2"/>
        <v>3581891.2</v>
      </c>
      <c r="F32" s="121">
        <v>623001.59999999998</v>
      </c>
      <c r="G32" s="121">
        <v>2958889.6</v>
      </c>
    </row>
    <row r="33" spans="1:7" ht="15.95" outlineLevel="2">
      <c r="A33" s="749"/>
      <c r="B33" s="750"/>
      <c r="C33" s="750"/>
      <c r="D33" s="68" t="s">
        <v>117</v>
      </c>
      <c r="E33" s="65">
        <f t="shared" si="2"/>
        <v>3581891.2</v>
      </c>
      <c r="F33" s="121">
        <v>623001.59999999998</v>
      </c>
      <c r="G33" s="121">
        <v>2958889.6</v>
      </c>
    </row>
    <row r="34" spans="1:7" ht="15.95" outlineLevel="2">
      <c r="A34" s="749"/>
      <c r="B34" s="750"/>
      <c r="C34" s="750"/>
      <c r="D34" s="68" t="s">
        <v>118</v>
      </c>
      <c r="E34" s="65">
        <f t="shared" si="2"/>
        <v>3581891.2</v>
      </c>
      <c r="F34" s="121">
        <v>623001.59999999998</v>
      </c>
      <c r="G34" s="121">
        <v>2958889.6</v>
      </c>
    </row>
    <row r="35" spans="1:7" ht="17.100000000000001" outlineLevel="2" thickBot="1">
      <c r="A35" s="749"/>
      <c r="B35" s="750"/>
      <c r="C35" s="750"/>
      <c r="D35" s="69" t="s">
        <v>119</v>
      </c>
      <c r="E35" s="73">
        <f>F35+G35</f>
        <v>3581891.2</v>
      </c>
      <c r="F35" s="123">
        <v>623001.59999999998</v>
      </c>
      <c r="G35" s="123">
        <v>2958889.6</v>
      </c>
    </row>
    <row r="36" spans="1:7" ht="15.95" outlineLevel="2">
      <c r="A36" s="749" t="s">
        <v>218</v>
      </c>
      <c r="B36" s="750" t="s">
        <v>219</v>
      </c>
      <c r="C36" s="750">
        <v>637005</v>
      </c>
      <c r="D36" s="67" t="s">
        <v>110</v>
      </c>
      <c r="E36" s="72">
        <v>0</v>
      </c>
      <c r="F36" s="575"/>
      <c r="G36" s="575"/>
    </row>
    <row r="37" spans="1:7" ht="15.95" outlineLevel="2">
      <c r="A37" s="749"/>
      <c r="B37" s="750"/>
      <c r="C37" s="750"/>
      <c r="D37" s="68" t="s">
        <v>111</v>
      </c>
      <c r="E37" s="72">
        <v>0</v>
      </c>
      <c r="F37" s="121"/>
      <c r="G37" s="121"/>
    </row>
    <row r="38" spans="1:7" ht="15.95" outlineLevel="2">
      <c r="A38" s="749"/>
      <c r="B38" s="750"/>
      <c r="C38" s="750"/>
      <c r="D38" s="68" t="s">
        <v>112</v>
      </c>
      <c r="E38" s="72">
        <v>0</v>
      </c>
      <c r="F38" s="121"/>
      <c r="G38" s="121"/>
    </row>
    <row r="39" spans="1:7" ht="15.95" outlineLevel="2">
      <c r="A39" s="749"/>
      <c r="B39" s="750"/>
      <c r="C39" s="750"/>
      <c r="D39" s="68" t="s">
        <v>113</v>
      </c>
      <c r="E39" s="72">
        <v>0</v>
      </c>
      <c r="F39" s="121"/>
      <c r="G39" s="121"/>
    </row>
    <row r="40" spans="1:7" ht="15.95" outlineLevel="2">
      <c r="A40" s="749"/>
      <c r="B40" s="750"/>
      <c r="C40" s="750"/>
      <c r="D40" s="68" t="s">
        <v>114</v>
      </c>
      <c r="E40" s="72">
        <v>0</v>
      </c>
      <c r="F40" s="121"/>
      <c r="G40" s="121"/>
    </row>
    <row r="41" spans="1:7" ht="15.95" outlineLevel="2">
      <c r="A41" s="749"/>
      <c r="B41" s="750"/>
      <c r="C41" s="750"/>
      <c r="D41" s="68" t="s">
        <v>115</v>
      </c>
      <c r="E41" s="72">
        <v>0</v>
      </c>
      <c r="F41" s="121"/>
      <c r="G41" s="121"/>
    </row>
    <row r="42" spans="1:7" ht="15.95" outlineLevel="2">
      <c r="A42" s="749"/>
      <c r="B42" s="750"/>
      <c r="C42" s="750"/>
      <c r="D42" s="68" t="s">
        <v>116</v>
      </c>
      <c r="E42" s="72">
        <v>0</v>
      </c>
      <c r="F42" s="121"/>
      <c r="G42" s="121"/>
    </row>
    <row r="43" spans="1:7" ht="15.95" outlineLevel="2">
      <c r="A43" s="749"/>
      <c r="B43" s="750"/>
      <c r="C43" s="750"/>
      <c r="D43" s="68" t="s">
        <v>117</v>
      </c>
      <c r="E43" s="72">
        <v>0</v>
      </c>
      <c r="F43" s="121"/>
      <c r="G43" s="121"/>
    </row>
    <row r="44" spans="1:7" ht="15.95" outlineLevel="2">
      <c r="A44" s="749"/>
      <c r="B44" s="750"/>
      <c r="C44" s="750"/>
      <c r="D44" s="68" t="s">
        <v>118</v>
      </c>
      <c r="E44" s="72">
        <v>0</v>
      </c>
      <c r="F44" s="121"/>
      <c r="G44" s="121"/>
    </row>
    <row r="45" spans="1:7" ht="17.100000000000001" outlineLevel="2" thickBot="1">
      <c r="A45" s="749"/>
      <c r="B45" s="750"/>
      <c r="C45" s="750"/>
      <c r="D45" s="69" t="s">
        <v>119</v>
      </c>
      <c r="E45" s="73">
        <v>0</v>
      </c>
      <c r="F45" s="123"/>
      <c r="G45" s="123"/>
    </row>
    <row r="46" spans="1:7" ht="15.95" outlineLevel="2">
      <c r="A46" s="749" t="s">
        <v>220</v>
      </c>
      <c r="B46" s="750" t="s">
        <v>216</v>
      </c>
      <c r="C46" s="750">
        <v>718006</v>
      </c>
      <c r="D46" s="67" t="s">
        <v>110</v>
      </c>
      <c r="E46" s="72">
        <f>F46+G46</f>
        <v>0</v>
      </c>
      <c r="F46" s="575">
        <v>0</v>
      </c>
      <c r="G46" s="575">
        <v>0</v>
      </c>
    </row>
    <row r="47" spans="1:7" ht="15.95" outlineLevel="2">
      <c r="A47" s="749"/>
      <c r="B47" s="750"/>
      <c r="C47" s="750"/>
      <c r="D47" s="68" t="s">
        <v>111</v>
      </c>
      <c r="E47" s="72">
        <f>F47+G47</f>
        <v>0</v>
      </c>
      <c r="F47" s="121">
        <v>0</v>
      </c>
      <c r="G47" s="121">
        <v>0</v>
      </c>
    </row>
    <row r="48" spans="1:7" ht="15.95" outlineLevel="2">
      <c r="A48" s="749"/>
      <c r="B48" s="750"/>
      <c r="C48" s="750"/>
      <c r="D48" s="68" t="s">
        <v>112</v>
      </c>
      <c r="E48" s="72">
        <f t="shared" ref="E48:E54" si="3">F48+G48</f>
        <v>0</v>
      </c>
      <c r="F48" s="121">
        <v>0</v>
      </c>
      <c r="G48" s="121">
        <v>0</v>
      </c>
    </row>
    <row r="49" spans="1:7" ht="15.95" outlineLevel="2">
      <c r="A49" s="749"/>
      <c r="B49" s="750"/>
      <c r="C49" s="750"/>
      <c r="D49" s="68" t="s">
        <v>113</v>
      </c>
      <c r="E49" s="72">
        <f t="shared" si="3"/>
        <v>0</v>
      </c>
      <c r="F49" s="121">
        <v>0</v>
      </c>
      <c r="G49" s="121">
        <v>0</v>
      </c>
    </row>
    <row r="50" spans="1:7" ht="15.95" outlineLevel="2">
      <c r="A50" s="749"/>
      <c r="B50" s="750"/>
      <c r="C50" s="750"/>
      <c r="D50" s="68" t="s">
        <v>114</v>
      </c>
      <c r="E50" s="72">
        <f t="shared" si="3"/>
        <v>0</v>
      </c>
      <c r="F50" s="121">
        <v>0</v>
      </c>
      <c r="G50" s="121">
        <v>0</v>
      </c>
    </row>
    <row r="51" spans="1:7" ht="15.95" outlineLevel="2">
      <c r="A51" s="749"/>
      <c r="B51" s="750"/>
      <c r="C51" s="750"/>
      <c r="D51" s="68" t="s">
        <v>115</v>
      </c>
      <c r="E51" s="72">
        <f t="shared" si="3"/>
        <v>0</v>
      </c>
      <c r="F51" s="121">
        <v>0</v>
      </c>
      <c r="G51" s="121">
        <v>0</v>
      </c>
    </row>
    <row r="52" spans="1:7" ht="15.95" outlineLevel="2">
      <c r="A52" s="749"/>
      <c r="B52" s="750"/>
      <c r="C52" s="750"/>
      <c r="D52" s="68" t="s">
        <v>116</v>
      </c>
      <c r="E52" s="72">
        <f t="shared" si="3"/>
        <v>0</v>
      </c>
      <c r="F52" s="121">
        <v>0</v>
      </c>
      <c r="G52" s="121">
        <v>0</v>
      </c>
    </row>
    <row r="53" spans="1:7" ht="15.95" outlineLevel="2">
      <c r="A53" s="749"/>
      <c r="B53" s="750"/>
      <c r="C53" s="750"/>
      <c r="D53" s="68" t="s">
        <v>117</v>
      </c>
      <c r="E53" s="72">
        <f t="shared" si="3"/>
        <v>0</v>
      </c>
      <c r="F53" s="121">
        <v>0</v>
      </c>
      <c r="G53" s="121">
        <v>0</v>
      </c>
    </row>
    <row r="54" spans="1:7" ht="15.95" outlineLevel="2">
      <c r="A54" s="749"/>
      <c r="B54" s="750"/>
      <c r="C54" s="750"/>
      <c r="D54" s="68" t="s">
        <v>118</v>
      </c>
      <c r="E54" s="72">
        <f t="shared" si="3"/>
        <v>0</v>
      </c>
      <c r="F54" s="121">
        <v>0</v>
      </c>
      <c r="G54" s="121">
        <v>0</v>
      </c>
    </row>
    <row r="55" spans="1:7" ht="17.100000000000001" outlineLevel="2" thickBot="1">
      <c r="A55" s="749"/>
      <c r="B55" s="750"/>
      <c r="C55" s="750"/>
      <c r="D55" s="69" t="s">
        <v>119</v>
      </c>
      <c r="E55" s="73">
        <f>F55+G55</f>
        <v>0</v>
      </c>
      <c r="F55" s="123">
        <v>0</v>
      </c>
      <c r="G55" s="123">
        <v>0</v>
      </c>
    </row>
    <row r="56" spans="1:7" ht="15.95" outlineLevel="2">
      <c r="A56" s="751" t="s">
        <v>221</v>
      </c>
      <c r="B56" s="750" t="s">
        <v>222</v>
      </c>
      <c r="C56" s="750"/>
      <c r="D56" s="67" t="s">
        <v>110</v>
      </c>
      <c r="E56" s="72">
        <v>0</v>
      </c>
      <c r="F56" s="575"/>
      <c r="G56" s="575"/>
    </row>
    <row r="57" spans="1:7" ht="15.95" outlineLevel="2">
      <c r="A57" s="751"/>
      <c r="B57" s="750"/>
      <c r="C57" s="750"/>
      <c r="D57" s="68" t="s">
        <v>111</v>
      </c>
      <c r="E57" s="72">
        <v>0</v>
      </c>
      <c r="F57" s="121"/>
      <c r="G57" s="121"/>
    </row>
    <row r="58" spans="1:7" ht="15.95" outlineLevel="2">
      <c r="A58" s="751"/>
      <c r="B58" s="750"/>
      <c r="C58" s="750"/>
      <c r="D58" s="68" t="s">
        <v>112</v>
      </c>
      <c r="E58" s="72">
        <v>0</v>
      </c>
      <c r="F58" s="121"/>
      <c r="G58" s="121"/>
    </row>
    <row r="59" spans="1:7" ht="15.95" outlineLevel="2">
      <c r="A59" s="751"/>
      <c r="B59" s="750"/>
      <c r="C59" s="750"/>
      <c r="D59" s="68" t="s">
        <v>113</v>
      </c>
      <c r="E59" s="72">
        <v>0</v>
      </c>
      <c r="F59" s="121"/>
      <c r="G59" s="121"/>
    </row>
    <row r="60" spans="1:7" ht="15.95" outlineLevel="2">
      <c r="A60" s="751"/>
      <c r="B60" s="750"/>
      <c r="C60" s="750"/>
      <c r="D60" s="68" t="s">
        <v>114</v>
      </c>
      <c r="E60" s="72">
        <v>0</v>
      </c>
      <c r="F60" s="121"/>
      <c r="G60" s="121"/>
    </row>
    <row r="61" spans="1:7" ht="15.95" outlineLevel="2">
      <c r="A61" s="751"/>
      <c r="B61" s="750"/>
      <c r="C61" s="750"/>
      <c r="D61" s="68" t="s">
        <v>115</v>
      </c>
      <c r="E61" s="72">
        <v>0</v>
      </c>
      <c r="F61" s="121"/>
      <c r="G61" s="121"/>
    </row>
    <row r="62" spans="1:7" ht="15.95" outlineLevel="2">
      <c r="A62" s="751"/>
      <c r="B62" s="750"/>
      <c r="C62" s="750"/>
      <c r="D62" s="68" t="s">
        <v>116</v>
      </c>
      <c r="E62" s="72">
        <v>0</v>
      </c>
      <c r="F62" s="121"/>
      <c r="G62" s="121"/>
    </row>
    <row r="63" spans="1:7" ht="15.95" outlineLevel="2">
      <c r="A63" s="751"/>
      <c r="B63" s="750"/>
      <c r="C63" s="750"/>
      <c r="D63" s="68" t="s">
        <v>117</v>
      </c>
      <c r="E63" s="72">
        <v>0</v>
      </c>
      <c r="F63" s="121"/>
      <c r="G63" s="121"/>
    </row>
    <row r="64" spans="1:7" ht="15.95" outlineLevel="2">
      <c r="A64" s="751"/>
      <c r="B64" s="750"/>
      <c r="C64" s="750"/>
      <c r="D64" s="68" t="s">
        <v>118</v>
      </c>
      <c r="E64" s="72">
        <v>0</v>
      </c>
      <c r="F64" s="121"/>
      <c r="G64" s="121"/>
    </row>
    <row r="65" spans="1:7" ht="17.100000000000001" outlineLevel="2" thickBot="1">
      <c r="A65" s="751"/>
      <c r="B65" s="750"/>
      <c r="C65" s="750"/>
      <c r="D65" s="69" t="s">
        <v>119</v>
      </c>
      <c r="E65" s="73">
        <v>0</v>
      </c>
      <c r="F65" s="123"/>
      <c r="G65" s="123"/>
    </row>
    <row r="66" spans="1:7" ht="15.95" outlineLevel="2">
      <c r="A66" s="749" t="s">
        <v>223</v>
      </c>
      <c r="B66" s="750" t="s">
        <v>219</v>
      </c>
      <c r="C66" s="750">
        <v>637001</v>
      </c>
      <c r="D66" s="67" t="s">
        <v>110</v>
      </c>
      <c r="E66" s="72">
        <v>0</v>
      </c>
      <c r="F66" s="575"/>
      <c r="G66" s="575"/>
    </row>
    <row r="67" spans="1:7" ht="15.95" outlineLevel="2">
      <c r="A67" s="749"/>
      <c r="B67" s="750"/>
      <c r="C67" s="750"/>
      <c r="D67" s="68" t="s">
        <v>111</v>
      </c>
      <c r="E67" s="72">
        <v>0</v>
      </c>
      <c r="F67" s="121"/>
      <c r="G67" s="121"/>
    </row>
    <row r="68" spans="1:7" ht="15.95" outlineLevel="2">
      <c r="A68" s="749"/>
      <c r="B68" s="750"/>
      <c r="C68" s="750"/>
      <c r="D68" s="68" t="s">
        <v>112</v>
      </c>
      <c r="E68" s="72">
        <v>0</v>
      </c>
      <c r="F68" s="121"/>
      <c r="G68" s="121"/>
    </row>
    <row r="69" spans="1:7" ht="15.95" outlineLevel="2">
      <c r="A69" s="749"/>
      <c r="B69" s="750"/>
      <c r="C69" s="750"/>
      <c r="D69" s="68" t="s">
        <v>113</v>
      </c>
      <c r="E69" s="72">
        <v>0</v>
      </c>
      <c r="F69" s="121"/>
      <c r="G69" s="121"/>
    </row>
    <row r="70" spans="1:7" ht="15.95" outlineLevel="2">
      <c r="A70" s="749"/>
      <c r="B70" s="750"/>
      <c r="C70" s="750"/>
      <c r="D70" s="68" t="s">
        <v>114</v>
      </c>
      <c r="E70" s="72">
        <v>0</v>
      </c>
      <c r="F70" s="121"/>
      <c r="G70" s="121"/>
    </row>
    <row r="71" spans="1:7" ht="15.95" outlineLevel="2">
      <c r="A71" s="749"/>
      <c r="B71" s="750"/>
      <c r="C71" s="750"/>
      <c r="D71" s="68" t="s">
        <v>115</v>
      </c>
      <c r="E71" s="72">
        <v>0</v>
      </c>
      <c r="F71" s="121"/>
      <c r="G71" s="121"/>
    </row>
    <row r="72" spans="1:7" ht="15.95" outlineLevel="2">
      <c r="A72" s="749"/>
      <c r="B72" s="750"/>
      <c r="C72" s="750"/>
      <c r="D72" s="68" t="s">
        <v>116</v>
      </c>
      <c r="E72" s="72">
        <v>0</v>
      </c>
      <c r="F72" s="121"/>
      <c r="G72" s="121"/>
    </row>
    <row r="73" spans="1:7" ht="15.95" outlineLevel="2">
      <c r="A73" s="749"/>
      <c r="B73" s="750"/>
      <c r="C73" s="750"/>
      <c r="D73" s="68" t="s">
        <v>117</v>
      </c>
      <c r="E73" s="72">
        <v>0</v>
      </c>
      <c r="F73" s="121"/>
      <c r="G73" s="121"/>
    </row>
    <row r="74" spans="1:7" ht="15.95" outlineLevel="2">
      <c r="A74" s="749"/>
      <c r="B74" s="750"/>
      <c r="C74" s="750"/>
      <c r="D74" s="68" t="s">
        <v>118</v>
      </c>
      <c r="E74" s="72">
        <v>0</v>
      </c>
      <c r="F74" s="121"/>
      <c r="G74" s="121"/>
    </row>
    <row r="75" spans="1:7" ht="17.100000000000001" outlineLevel="2" thickBot="1">
      <c r="A75" s="749"/>
      <c r="B75" s="750"/>
      <c r="C75" s="750"/>
      <c r="D75" s="69" t="s">
        <v>119</v>
      </c>
      <c r="E75" s="73">
        <v>0</v>
      </c>
      <c r="F75" s="121"/>
      <c r="G75" s="121"/>
    </row>
  </sheetData>
  <mergeCells count="24">
    <mergeCell ref="A56:A65"/>
    <mergeCell ref="B56:B65"/>
    <mergeCell ref="C56:C65"/>
    <mergeCell ref="A66:A75"/>
    <mergeCell ref="B66:B75"/>
    <mergeCell ref="C66:C75"/>
    <mergeCell ref="A36:A45"/>
    <mergeCell ref="B36:B45"/>
    <mergeCell ref="C36:C45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F3:G3"/>
    <mergeCell ref="A1:D1"/>
    <mergeCell ref="A3:C3"/>
    <mergeCell ref="A5:A14"/>
    <mergeCell ref="B5:B14"/>
    <mergeCell ref="C5:C14"/>
  </mergeCells>
  <pageMargins left="0.7" right="0.7" top="0.75" bottom="0.75" header="0.3" footer="0.3"/>
  <pageSetup paperSize="9" scale="6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CC"/>
    <outlinePr summaryBelow="0" summaryRight="0"/>
  </sheetPr>
  <dimension ref="A1:I170"/>
  <sheetViews>
    <sheetView tabSelected="1" view="pageBreakPreview" topLeftCell="C1" zoomScaleNormal="85" zoomScaleSheetLayoutView="100" workbookViewId="0" xr3:uid="{FF0BDA26-1AD6-5648-BD9A-E01AA4DDCA7C}">
      <selection activeCell="H61" sqref="H61"/>
    </sheetView>
  </sheetViews>
  <sheetFormatPr defaultColWidth="8.85546875" defaultRowHeight="15" outlineLevelRow="2" outlineLevelCol="1"/>
  <cols>
    <col min="1" max="1" width="22.42578125" customWidth="1"/>
    <col min="2" max="2" width="23.28515625" customWidth="1"/>
    <col min="3" max="3" width="22.42578125" customWidth="1"/>
    <col min="5" max="5" width="17.85546875" customWidth="1"/>
    <col min="6" max="8" width="19.28515625" customWidth="1" outlineLevel="1"/>
  </cols>
  <sheetData>
    <row r="1" spans="1:8" ht="51.75" customHeight="1">
      <c r="A1" s="747" t="s">
        <v>205</v>
      </c>
      <c r="B1" s="747"/>
      <c r="C1" s="747"/>
      <c r="D1" s="748"/>
      <c r="E1" s="70" t="s">
        <v>120</v>
      </c>
      <c r="F1" s="286" t="s">
        <v>206</v>
      </c>
      <c r="G1" s="286" t="s">
        <v>224</v>
      </c>
      <c r="H1" s="286" t="s">
        <v>225</v>
      </c>
    </row>
    <row r="2" spans="1:8">
      <c r="A2" s="40" t="s">
        <v>208</v>
      </c>
      <c r="B2" s="75" t="s">
        <v>209</v>
      </c>
      <c r="C2" s="75" t="s">
        <v>210</v>
      </c>
      <c r="D2" s="75" t="s">
        <v>106</v>
      </c>
      <c r="E2" s="17"/>
      <c r="F2" s="17"/>
      <c r="G2" s="17"/>
      <c r="H2" s="17"/>
    </row>
    <row r="3" spans="1:8">
      <c r="A3" s="752" t="s">
        <v>226</v>
      </c>
      <c r="B3" s="753"/>
      <c r="C3" s="753"/>
      <c r="D3" s="79"/>
      <c r="E3" s="77">
        <f t="shared" ref="E3:F3" si="0">E4+E25</f>
        <v>16698958.75</v>
      </c>
      <c r="F3" s="78">
        <f t="shared" si="0"/>
        <v>3705060</v>
      </c>
      <c r="G3" s="78">
        <f>G4+G25</f>
        <v>6183160</v>
      </c>
      <c r="H3" s="78">
        <f>H4+H25</f>
        <v>6810738.75</v>
      </c>
    </row>
    <row r="4" spans="1:8" outlineLevel="1">
      <c r="A4" s="17" t="s">
        <v>212</v>
      </c>
      <c r="B4" s="17"/>
      <c r="C4" s="17"/>
      <c r="D4" s="28"/>
      <c r="E4" s="77">
        <f t="shared" ref="E4:F4" si="1">SUM(E5:E24)</f>
        <v>378678.75</v>
      </c>
      <c r="F4" s="78">
        <f t="shared" si="1"/>
        <v>0</v>
      </c>
      <c r="G4" s="78">
        <f>SUM(G5:G24)</f>
        <v>0</v>
      </c>
      <c r="H4" s="78">
        <f>SUM(H5:H24)</f>
        <v>378678.75</v>
      </c>
    </row>
    <row r="5" spans="1:8" ht="15.95" outlineLevel="2">
      <c r="A5" s="749" t="s">
        <v>227</v>
      </c>
      <c r="B5" s="750" t="s">
        <v>216</v>
      </c>
      <c r="C5" s="750">
        <v>711003</v>
      </c>
      <c r="D5" s="67" t="s">
        <v>110</v>
      </c>
      <c r="E5" s="64">
        <f t="shared" ref="E5:E24" si="2">SUM(F5:H5)</f>
        <v>378678.75</v>
      </c>
      <c r="F5" s="119">
        <v>0</v>
      </c>
      <c r="G5" s="120">
        <v>0</v>
      </c>
      <c r="H5" s="120">
        <f>'Rozpočet - vývoj Aplikácií'!AL7</f>
        <v>378678.75</v>
      </c>
    </row>
    <row r="6" spans="1:8" ht="15.95" outlineLevel="2">
      <c r="A6" s="749"/>
      <c r="B6" s="750"/>
      <c r="C6" s="750"/>
      <c r="D6" s="68" t="s">
        <v>111</v>
      </c>
      <c r="E6" s="65">
        <f t="shared" si="2"/>
        <v>0</v>
      </c>
      <c r="F6" s="121">
        <v>0</v>
      </c>
      <c r="G6" s="122">
        <v>0</v>
      </c>
      <c r="H6" s="122">
        <v>0</v>
      </c>
    </row>
    <row r="7" spans="1:8" ht="15.95" outlineLevel="2">
      <c r="A7" s="749"/>
      <c r="B7" s="750"/>
      <c r="C7" s="750"/>
      <c r="D7" s="68" t="s">
        <v>112</v>
      </c>
      <c r="E7" s="65">
        <f t="shared" si="2"/>
        <v>0</v>
      </c>
      <c r="F7" s="121">
        <v>0</v>
      </c>
      <c r="G7" s="122">
        <v>0</v>
      </c>
      <c r="H7" s="122">
        <v>0</v>
      </c>
    </row>
    <row r="8" spans="1:8" ht="15.95" outlineLevel="2">
      <c r="A8" s="749"/>
      <c r="B8" s="750"/>
      <c r="C8" s="750"/>
      <c r="D8" s="68" t="s">
        <v>113</v>
      </c>
      <c r="E8" s="65">
        <f t="shared" si="2"/>
        <v>0</v>
      </c>
      <c r="F8" s="121">
        <v>0</v>
      </c>
      <c r="G8" s="122">
        <v>0</v>
      </c>
      <c r="H8" s="122">
        <v>0</v>
      </c>
    </row>
    <row r="9" spans="1:8" ht="15.95" outlineLevel="2">
      <c r="A9" s="749"/>
      <c r="B9" s="750"/>
      <c r="C9" s="750"/>
      <c r="D9" s="68" t="s">
        <v>114</v>
      </c>
      <c r="E9" s="65">
        <f t="shared" si="2"/>
        <v>0</v>
      </c>
      <c r="F9" s="121">
        <v>0</v>
      </c>
      <c r="G9" s="122">
        <v>0</v>
      </c>
      <c r="H9" s="122">
        <v>0</v>
      </c>
    </row>
    <row r="10" spans="1:8" ht="15.95" outlineLevel="2">
      <c r="A10" s="749"/>
      <c r="B10" s="750"/>
      <c r="C10" s="750"/>
      <c r="D10" s="68" t="s">
        <v>115</v>
      </c>
      <c r="E10" s="65">
        <f t="shared" si="2"/>
        <v>0</v>
      </c>
      <c r="F10" s="121">
        <v>0</v>
      </c>
      <c r="G10" s="122">
        <v>0</v>
      </c>
      <c r="H10" s="122">
        <v>0</v>
      </c>
    </row>
    <row r="11" spans="1:8" ht="15.95" outlineLevel="2">
      <c r="A11" s="749"/>
      <c r="B11" s="750"/>
      <c r="C11" s="750"/>
      <c r="D11" s="68" t="s">
        <v>116</v>
      </c>
      <c r="E11" s="65">
        <f t="shared" si="2"/>
        <v>0</v>
      </c>
      <c r="F11" s="121">
        <v>0</v>
      </c>
      <c r="G11" s="122">
        <v>0</v>
      </c>
      <c r="H11" s="122">
        <v>0</v>
      </c>
    </row>
    <row r="12" spans="1:8" ht="15.95" outlineLevel="2">
      <c r="A12" s="749"/>
      <c r="B12" s="750"/>
      <c r="C12" s="750"/>
      <c r="D12" s="68" t="s">
        <v>117</v>
      </c>
      <c r="E12" s="65">
        <f t="shared" si="2"/>
        <v>0</v>
      </c>
      <c r="F12" s="121">
        <v>0</v>
      </c>
      <c r="G12" s="122">
        <v>0</v>
      </c>
      <c r="H12" s="122">
        <v>0</v>
      </c>
    </row>
    <row r="13" spans="1:8" ht="15.95" outlineLevel="2">
      <c r="A13" s="749"/>
      <c r="B13" s="750"/>
      <c r="C13" s="750"/>
      <c r="D13" s="68" t="s">
        <v>118</v>
      </c>
      <c r="E13" s="65">
        <f t="shared" si="2"/>
        <v>0</v>
      </c>
      <c r="F13" s="121">
        <v>0</v>
      </c>
      <c r="G13" s="122">
        <v>0</v>
      </c>
      <c r="H13" s="122">
        <v>0</v>
      </c>
    </row>
    <row r="14" spans="1:8" ht="15.95" outlineLevel="2">
      <c r="A14" s="749"/>
      <c r="B14" s="750"/>
      <c r="C14" s="750"/>
      <c r="D14" s="69" t="s">
        <v>119</v>
      </c>
      <c r="E14" s="65">
        <f t="shared" si="2"/>
        <v>0</v>
      </c>
      <c r="F14" s="123">
        <v>0</v>
      </c>
      <c r="G14" s="124">
        <v>0</v>
      </c>
      <c r="H14" s="124">
        <v>0</v>
      </c>
    </row>
    <row r="15" spans="1:8" ht="15.95" outlineLevel="2">
      <c r="A15" s="749" t="s">
        <v>227</v>
      </c>
      <c r="B15" s="750" t="s">
        <v>219</v>
      </c>
      <c r="C15" s="750">
        <v>633013</v>
      </c>
      <c r="D15" s="67" t="s">
        <v>110</v>
      </c>
      <c r="E15" s="64">
        <f t="shared" si="2"/>
        <v>0</v>
      </c>
      <c r="F15" s="119">
        <v>0</v>
      </c>
      <c r="G15" s="120">
        <v>0</v>
      </c>
      <c r="H15" s="122">
        <v>0</v>
      </c>
    </row>
    <row r="16" spans="1:8" ht="15.95" outlineLevel="2">
      <c r="A16" s="749"/>
      <c r="B16" s="750"/>
      <c r="C16" s="750"/>
      <c r="D16" s="68" t="s">
        <v>111</v>
      </c>
      <c r="E16" s="65">
        <f t="shared" si="2"/>
        <v>0</v>
      </c>
      <c r="F16" s="121">
        <v>0</v>
      </c>
      <c r="G16" s="122">
        <v>0</v>
      </c>
      <c r="H16" s="122">
        <v>0</v>
      </c>
    </row>
    <row r="17" spans="1:9" ht="15.95" outlineLevel="2">
      <c r="A17" s="749"/>
      <c r="B17" s="750"/>
      <c r="C17" s="750"/>
      <c r="D17" s="68" t="s">
        <v>112</v>
      </c>
      <c r="E17" s="65">
        <f t="shared" si="2"/>
        <v>0</v>
      </c>
      <c r="F17" s="121">
        <v>0</v>
      </c>
      <c r="G17" s="122">
        <v>0</v>
      </c>
      <c r="H17" s="122">
        <v>0</v>
      </c>
    </row>
    <row r="18" spans="1:9" ht="15.95" outlineLevel="2">
      <c r="A18" s="749"/>
      <c r="B18" s="750"/>
      <c r="C18" s="750"/>
      <c r="D18" s="68" t="s">
        <v>113</v>
      </c>
      <c r="E18" s="65">
        <f t="shared" si="2"/>
        <v>0</v>
      </c>
      <c r="F18" s="121">
        <v>0</v>
      </c>
      <c r="G18" s="122">
        <v>0</v>
      </c>
      <c r="H18" s="122">
        <v>0</v>
      </c>
    </row>
    <row r="19" spans="1:9" ht="15.95" outlineLevel="2">
      <c r="A19" s="749"/>
      <c r="B19" s="750"/>
      <c r="C19" s="750"/>
      <c r="D19" s="68" t="s">
        <v>114</v>
      </c>
      <c r="E19" s="65">
        <f t="shared" si="2"/>
        <v>0</v>
      </c>
      <c r="F19" s="121">
        <v>0</v>
      </c>
      <c r="G19" s="122">
        <v>0</v>
      </c>
      <c r="H19" s="122">
        <v>0</v>
      </c>
    </row>
    <row r="20" spans="1:9" ht="15.95" outlineLevel="2">
      <c r="A20" s="749"/>
      <c r="B20" s="750"/>
      <c r="C20" s="750"/>
      <c r="D20" s="68" t="s">
        <v>115</v>
      </c>
      <c r="E20" s="65">
        <f t="shared" si="2"/>
        <v>0</v>
      </c>
      <c r="F20" s="121">
        <v>0</v>
      </c>
      <c r="G20" s="122">
        <v>0</v>
      </c>
      <c r="H20" s="122">
        <v>0</v>
      </c>
    </row>
    <row r="21" spans="1:9" ht="15.95" outlineLevel="2">
      <c r="A21" s="749"/>
      <c r="B21" s="750"/>
      <c r="C21" s="750"/>
      <c r="D21" s="68" t="s">
        <v>116</v>
      </c>
      <c r="E21" s="65">
        <f t="shared" si="2"/>
        <v>0</v>
      </c>
      <c r="F21" s="121">
        <v>0</v>
      </c>
      <c r="G21" s="122">
        <v>0</v>
      </c>
      <c r="H21" s="122">
        <v>0</v>
      </c>
    </row>
    <row r="22" spans="1:9" ht="15.95" outlineLevel="2">
      <c r="A22" s="749"/>
      <c r="B22" s="750"/>
      <c r="C22" s="750"/>
      <c r="D22" s="68" t="s">
        <v>117</v>
      </c>
      <c r="E22" s="65">
        <f t="shared" si="2"/>
        <v>0</v>
      </c>
      <c r="F22" s="121">
        <v>0</v>
      </c>
      <c r="G22" s="122">
        <v>0</v>
      </c>
      <c r="H22" s="122">
        <v>0</v>
      </c>
    </row>
    <row r="23" spans="1:9" ht="15.95" outlineLevel="2">
      <c r="A23" s="749"/>
      <c r="B23" s="750"/>
      <c r="C23" s="750"/>
      <c r="D23" s="68" t="s">
        <v>118</v>
      </c>
      <c r="E23" s="65">
        <f t="shared" si="2"/>
        <v>0</v>
      </c>
      <c r="F23" s="121">
        <v>0</v>
      </c>
      <c r="G23" s="122">
        <v>0</v>
      </c>
      <c r="H23" s="122">
        <v>0</v>
      </c>
    </row>
    <row r="24" spans="1:9" ht="15.95" outlineLevel="2">
      <c r="A24" s="749"/>
      <c r="B24" s="750"/>
      <c r="C24" s="750"/>
      <c r="D24" s="69" t="s">
        <v>119</v>
      </c>
      <c r="E24" s="66">
        <f t="shared" si="2"/>
        <v>0</v>
      </c>
      <c r="F24" s="123">
        <v>0</v>
      </c>
      <c r="G24" s="124">
        <v>0</v>
      </c>
      <c r="H24" s="124">
        <v>0</v>
      </c>
    </row>
    <row r="25" spans="1:9" outlineLevel="1">
      <c r="A25" s="17" t="s">
        <v>81</v>
      </c>
      <c r="B25" s="17"/>
      <c r="C25" s="17"/>
      <c r="D25" s="28"/>
      <c r="E25" s="129">
        <f t="shared" ref="E25:F25" si="3">SUM(E26:E55)</f>
        <v>16320280</v>
      </c>
      <c r="F25" s="130">
        <f t="shared" si="3"/>
        <v>3705060</v>
      </c>
      <c r="G25" s="130">
        <f>SUM(G26:G55)</f>
        <v>6183160</v>
      </c>
      <c r="H25" s="130">
        <f>SUM(H26:H55)</f>
        <v>6432060</v>
      </c>
    </row>
    <row r="26" spans="1:9" ht="15.95" outlineLevel="2">
      <c r="A26" s="749" t="s">
        <v>228</v>
      </c>
      <c r="B26" s="750" t="s">
        <v>216</v>
      </c>
      <c r="C26" s="750">
        <v>711003</v>
      </c>
      <c r="D26" s="67" t="s">
        <v>110</v>
      </c>
      <c r="E26" s="71">
        <f t="shared" ref="E26:E55" si="4">SUM(F26:H26)</f>
        <v>8556080</v>
      </c>
      <c r="F26" s="115">
        <f>'Rozpočet - vývoj Aplikácií'!AL49</f>
        <v>588240</v>
      </c>
      <c r="G26" s="114">
        <f>SUM('Rozpočet - vývoj Aplikácií'!AL23:AL31)+SUM('Rozpočet - vývoj Aplikácií'!AL36:AL38)+SUM('Rozpočet - vývoj Aplikácií'!AL39:AL40)/2+SUM('Rozpočet - vývoj Aplikácií'!AL62:AL68)+SUM('Rozpočet - vývoj Aplikácií'!AL73:AL75)</f>
        <v>3630600</v>
      </c>
      <c r="H26" s="114">
        <f>SUM('Rozpočet - vývoj Aplikácií'!AL4:AL6)+SUM('Rozpočet - vývoj Aplikácií'!AL8:AL18)</f>
        <v>4337240</v>
      </c>
      <c r="I26" s="578"/>
    </row>
    <row r="27" spans="1:9" ht="15.95" outlineLevel="2">
      <c r="A27" s="749"/>
      <c r="B27" s="750"/>
      <c r="C27" s="750"/>
      <c r="D27" s="68" t="s">
        <v>111</v>
      </c>
      <c r="E27" s="72">
        <f t="shared" si="4"/>
        <v>7764200</v>
      </c>
      <c r="F27" s="115">
        <f>SUM('Rozpočet - vývoj Aplikácií'!AL52:AL59)+SUM('Rozpočet - vývoj Aplikácií'!AL85:AL93)</f>
        <v>3116820</v>
      </c>
      <c r="G27" s="116">
        <f>SUM('Rozpočet - vývoj Aplikácií'!AL32:AL33)+SUM('Rozpočet - vývoj Aplikácií'!AL39:AL40)/2+SUM('Rozpočet - vývoj Aplikácií'!AL41:AL46)+SUM('Rozpočet - vývoj Aplikácií'!AL69:AL70)+SUM('Rozpočet - vývoj Aplikácií'!AL76:AL82)</f>
        <v>2552560</v>
      </c>
      <c r="H27" s="116">
        <f>SUM('Rozpočet - vývoj Aplikácií'!AL19:AL20)+SUM('Rozpočet - vývoj Aplikácií'!AL96:AL101)</f>
        <v>2094820</v>
      </c>
    </row>
    <row r="28" spans="1:9" ht="15.95" outlineLevel="2">
      <c r="A28" s="749"/>
      <c r="B28" s="750"/>
      <c r="C28" s="750"/>
      <c r="D28" s="68" t="s">
        <v>112</v>
      </c>
      <c r="E28" s="72">
        <f t="shared" si="4"/>
        <v>0</v>
      </c>
      <c r="F28" s="115">
        <v>0</v>
      </c>
      <c r="G28" s="116">
        <v>0</v>
      </c>
      <c r="H28" s="116">
        <v>0</v>
      </c>
    </row>
    <row r="29" spans="1:9" ht="15.95" outlineLevel="2">
      <c r="A29" s="749"/>
      <c r="B29" s="750"/>
      <c r="C29" s="750"/>
      <c r="D29" s="68" t="s">
        <v>113</v>
      </c>
      <c r="E29" s="72">
        <f t="shared" si="4"/>
        <v>0</v>
      </c>
      <c r="F29" s="115">
        <v>0</v>
      </c>
      <c r="G29" s="116">
        <v>0</v>
      </c>
      <c r="H29" s="116">
        <v>0</v>
      </c>
    </row>
    <row r="30" spans="1:9" ht="15.95" outlineLevel="2">
      <c r="A30" s="749"/>
      <c r="B30" s="750"/>
      <c r="C30" s="750"/>
      <c r="D30" s="68" t="s">
        <v>114</v>
      </c>
      <c r="E30" s="72">
        <f t="shared" si="4"/>
        <v>0</v>
      </c>
      <c r="F30" s="115">
        <v>0</v>
      </c>
      <c r="G30" s="116">
        <v>0</v>
      </c>
      <c r="H30" s="116">
        <v>0</v>
      </c>
    </row>
    <row r="31" spans="1:9" ht="15.95" outlineLevel="2">
      <c r="A31" s="749"/>
      <c r="B31" s="750"/>
      <c r="C31" s="750"/>
      <c r="D31" s="68" t="s">
        <v>115</v>
      </c>
      <c r="E31" s="72">
        <f t="shared" si="4"/>
        <v>0</v>
      </c>
      <c r="F31" s="115">
        <v>0</v>
      </c>
      <c r="G31" s="116">
        <v>0</v>
      </c>
      <c r="H31" s="116">
        <v>0</v>
      </c>
    </row>
    <row r="32" spans="1:9" ht="15.95" outlineLevel="2">
      <c r="A32" s="749"/>
      <c r="B32" s="750"/>
      <c r="C32" s="750"/>
      <c r="D32" s="68" t="s">
        <v>116</v>
      </c>
      <c r="E32" s="72">
        <f t="shared" si="4"/>
        <v>0</v>
      </c>
      <c r="F32" s="115">
        <v>0</v>
      </c>
      <c r="G32" s="116">
        <v>0</v>
      </c>
      <c r="H32" s="116">
        <v>0</v>
      </c>
    </row>
    <row r="33" spans="1:8" ht="15.95" outlineLevel="2">
      <c r="A33" s="749"/>
      <c r="B33" s="750"/>
      <c r="C33" s="750"/>
      <c r="D33" s="68" t="s">
        <v>117</v>
      </c>
      <c r="E33" s="72">
        <f t="shared" si="4"/>
        <v>0</v>
      </c>
      <c r="F33" s="115">
        <v>0</v>
      </c>
      <c r="G33" s="116">
        <v>0</v>
      </c>
      <c r="H33" s="116">
        <v>0</v>
      </c>
    </row>
    <row r="34" spans="1:8" ht="15.95" outlineLevel="2">
      <c r="A34" s="749"/>
      <c r="B34" s="750"/>
      <c r="C34" s="750"/>
      <c r="D34" s="68" t="s">
        <v>118</v>
      </c>
      <c r="E34" s="72">
        <f t="shared" si="4"/>
        <v>0</v>
      </c>
      <c r="F34" s="115">
        <v>0</v>
      </c>
      <c r="G34" s="116">
        <v>0</v>
      </c>
      <c r="H34" s="116">
        <v>0</v>
      </c>
    </row>
    <row r="35" spans="1:8" ht="15.95" outlineLevel="2">
      <c r="A35" s="749"/>
      <c r="B35" s="750"/>
      <c r="C35" s="750"/>
      <c r="D35" s="69" t="s">
        <v>119</v>
      </c>
      <c r="E35" s="73">
        <f t="shared" si="4"/>
        <v>0</v>
      </c>
      <c r="F35" s="117">
        <v>0</v>
      </c>
      <c r="G35" s="118">
        <v>0</v>
      </c>
      <c r="H35" s="118">
        <v>0</v>
      </c>
    </row>
    <row r="36" spans="1:8" ht="15.95" outlineLevel="2">
      <c r="A36" s="749" t="s">
        <v>228</v>
      </c>
      <c r="B36" s="750" t="s">
        <v>219</v>
      </c>
      <c r="C36" s="750">
        <v>633013</v>
      </c>
      <c r="D36" s="67" t="s">
        <v>110</v>
      </c>
      <c r="E36" s="72">
        <f t="shared" si="4"/>
        <v>0</v>
      </c>
      <c r="F36" s="113">
        <v>0</v>
      </c>
      <c r="G36" s="114">
        <v>0</v>
      </c>
      <c r="H36" s="114">
        <v>0</v>
      </c>
    </row>
    <row r="37" spans="1:8" ht="15.95" outlineLevel="2">
      <c r="A37" s="749"/>
      <c r="B37" s="750"/>
      <c r="C37" s="750"/>
      <c r="D37" s="68" t="s">
        <v>111</v>
      </c>
      <c r="E37" s="72">
        <f t="shared" si="4"/>
        <v>0</v>
      </c>
      <c r="F37" s="115">
        <v>0</v>
      </c>
      <c r="G37" s="116">
        <v>0</v>
      </c>
      <c r="H37" s="116">
        <v>0</v>
      </c>
    </row>
    <row r="38" spans="1:8" ht="15.95" outlineLevel="2">
      <c r="A38" s="749"/>
      <c r="B38" s="750"/>
      <c r="C38" s="750"/>
      <c r="D38" s="68" t="s">
        <v>112</v>
      </c>
      <c r="E38" s="72">
        <f t="shared" si="4"/>
        <v>0</v>
      </c>
      <c r="F38" s="115">
        <v>0</v>
      </c>
      <c r="G38" s="116">
        <v>0</v>
      </c>
      <c r="H38" s="116">
        <v>0</v>
      </c>
    </row>
    <row r="39" spans="1:8" ht="15.95" outlineLevel="2">
      <c r="A39" s="749"/>
      <c r="B39" s="750"/>
      <c r="C39" s="750"/>
      <c r="D39" s="68" t="s">
        <v>113</v>
      </c>
      <c r="E39" s="72">
        <f t="shared" si="4"/>
        <v>0</v>
      </c>
      <c r="F39" s="115">
        <v>0</v>
      </c>
      <c r="G39" s="116">
        <v>0</v>
      </c>
      <c r="H39" s="116">
        <v>0</v>
      </c>
    </row>
    <row r="40" spans="1:8" ht="15.95" outlineLevel="2">
      <c r="A40" s="749"/>
      <c r="B40" s="750"/>
      <c r="C40" s="750"/>
      <c r="D40" s="68" t="s">
        <v>114</v>
      </c>
      <c r="E40" s="72">
        <f t="shared" si="4"/>
        <v>0</v>
      </c>
      <c r="F40" s="115">
        <v>0</v>
      </c>
      <c r="G40" s="116">
        <v>0</v>
      </c>
      <c r="H40" s="116">
        <v>0</v>
      </c>
    </row>
    <row r="41" spans="1:8" ht="15.95" outlineLevel="2">
      <c r="A41" s="749"/>
      <c r="B41" s="750"/>
      <c r="C41" s="750"/>
      <c r="D41" s="68" t="s">
        <v>115</v>
      </c>
      <c r="E41" s="72">
        <f t="shared" si="4"/>
        <v>0</v>
      </c>
      <c r="F41" s="115">
        <v>0</v>
      </c>
      <c r="G41" s="116">
        <v>0</v>
      </c>
      <c r="H41" s="116">
        <v>0</v>
      </c>
    </row>
    <row r="42" spans="1:8" ht="15.95" outlineLevel="2">
      <c r="A42" s="749"/>
      <c r="B42" s="750"/>
      <c r="C42" s="750"/>
      <c r="D42" s="68" t="s">
        <v>116</v>
      </c>
      <c r="E42" s="72">
        <f t="shared" si="4"/>
        <v>0</v>
      </c>
      <c r="F42" s="115">
        <v>0</v>
      </c>
      <c r="G42" s="116">
        <v>0</v>
      </c>
      <c r="H42" s="116">
        <v>0</v>
      </c>
    </row>
    <row r="43" spans="1:8" ht="15.95" outlineLevel="2">
      <c r="A43" s="749"/>
      <c r="B43" s="750"/>
      <c r="C43" s="750"/>
      <c r="D43" s="68" t="s">
        <v>117</v>
      </c>
      <c r="E43" s="72">
        <f t="shared" si="4"/>
        <v>0</v>
      </c>
      <c r="F43" s="115">
        <v>0</v>
      </c>
      <c r="G43" s="116">
        <v>0</v>
      </c>
      <c r="H43" s="116">
        <v>0</v>
      </c>
    </row>
    <row r="44" spans="1:8" ht="15.95" outlineLevel="2">
      <c r="A44" s="749"/>
      <c r="B44" s="750"/>
      <c r="C44" s="750"/>
      <c r="D44" s="68" t="s">
        <v>118</v>
      </c>
      <c r="E44" s="72">
        <f t="shared" si="4"/>
        <v>0</v>
      </c>
      <c r="F44" s="115">
        <v>0</v>
      </c>
      <c r="G44" s="116">
        <v>0</v>
      </c>
      <c r="H44" s="116">
        <v>0</v>
      </c>
    </row>
    <row r="45" spans="1:8" ht="15.95" outlineLevel="2">
      <c r="A45" s="749"/>
      <c r="B45" s="750"/>
      <c r="C45" s="750"/>
      <c r="D45" s="69" t="s">
        <v>119</v>
      </c>
      <c r="E45" s="73">
        <f t="shared" si="4"/>
        <v>0</v>
      </c>
      <c r="F45" s="117">
        <v>0</v>
      </c>
      <c r="G45" s="118">
        <v>0</v>
      </c>
      <c r="H45" s="118">
        <v>0</v>
      </c>
    </row>
    <row r="46" spans="1:8" ht="15.95" outlineLevel="2">
      <c r="A46" s="749" t="s">
        <v>223</v>
      </c>
      <c r="B46" s="750" t="s">
        <v>219</v>
      </c>
      <c r="C46" s="750">
        <v>637001</v>
      </c>
      <c r="D46" s="67" t="s">
        <v>110</v>
      </c>
      <c r="E46" s="72">
        <f t="shared" si="4"/>
        <v>0</v>
      </c>
      <c r="F46" s="113">
        <v>0</v>
      </c>
      <c r="G46" s="114">
        <v>0</v>
      </c>
      <c r="H46" s="114">
        <v>0</v>
      </c>
    </row>
    <row r="47" spans="1:8" ht="15.95" outlineLevel="2">
      <c r="A47" s="749"/>
      <c r="B47" s="750"/>
      <c r="C47" s="750"/>
      <c r="D47" s="68" t="s">
        <v>111</v>
      </c>
      <c r="E47" s="72">
        <f t="shared" si="4"/>
        <v>0</v>
      </c>
      <c r="F47" s="115">
        <v>0</v>
      </c>
      <c r="G47" s="116">
        <v>0</v>
      </c>
      <c r="H47" s="116">
        <v>0</v>
      </c>
    </row>
    <row r="48" spans="1:8" ht="15.95" outlineLevel="2">
      <c r="A48" s="749"/>
      <c r="B48" s="750"/>
      <c r="C48" s="750"/>
      <c r="D48" s="68" t="s">
        <v>112</v>
      </c>
      <c r="E48" s="72">
        <f t="shared" si="4"/>
        <v>0</v>
      </c>
      <c r="F48" s="115">
        <v>0</v>
      </c>
      <c r="G48" s="116">
        <v>0</v>
      </c>
      <c r="H48" s="116">
        <v>0</v>
      </c>
    </row>
    <row r="49" spans="1:8" ht="15.95" outlineLevel="2">
      <c r="A49" s="749"/>
      <c r="B49" s="750"/>
      <c r="C49" s="750"/>
      <c r="D49" s="68" t="s">
        <v>113</v>
      </c>
      <c r="E49" s="72">
        <f t="shared" si="4"/>
        <v>0</v>
      </c>
      <c r="F49" s="115">
        <v>0</v>
      </c>
      <c r="G49" s="116">
        <v>0</v>
      </c>
      <c r="H49" s="116">
        <v>0</v>
      </c>
    </row>
    <row r="50" spans="1:8" ht="15.95" outlineLevel="2">
      <c r="A50" s="749"/>
      <c r="B50" s="750"/>
      <c r="C50" s="750"/>
      <c r="D50" s="68" t="s">
        <v>114</v>
      </c>
      <c r="E50" s="72">
        <f t="shared" si="4"/>
        <v>0</v>
      </c>
      <c r="F50" s="115">
        <v>0</v>
      </c>
      <c r="G50" s="116">
        <v>0</v>
      </c>
      <c r="H50" s="116">
        <v>0</v>
      </c>
    </row>
    <row r="51" spans="1:8" ht="15.95" outlineLevel="2">
      <c r="A51" s="749"/>
      <c r="B51" s="750"/>
      <c r="C51" s="750"/>
      <c r="D51" s="68" t="s">
        <v>115</v>
      </c>
      <c r="E51" s="72">
        <f t="shared" si="4"/>
        <v>0</v>
      </c>
      <c r="F51" s="115">
        <v>0</v>
      </c>
      <c r="G51" s="116">
        <v>0</v>
      </c>
      <c r="H51" s="116">
        <v>0</v>
      </c>
    </row>
    <row r="52" spans="1:8" ht="15.95" outlineLevel="2">
      <c r="A52" s="749"/>
      <c r="B52" s="750"/>
      <c r="C52" s="750"/>
      <c r="D52" s="68" t="s">
        <v>116</v>
      </c>
      <c r="E52" s="72">
        <f t="shared" si="4"/>
        <v>0</v>
      </c>
      <c r="F52" s="115">
        <v>0</v>
      </c>
      <c r="G52" s="116">
        <v>0</v>
      </c>
      <c r="H52" s="116">
        <v>0</v>
      </c>
    </row>
    <row r="53" spans="1:8" ht="15.95" outlineLevel="2">
      <c r="A53" s="749"/>
      <c r="B53" s="750"/>
      <c r="C53" s="750"/>
      <c r="D53" s="68" t="s">
        <v>117</v>
      </c>
      <c r="E53" s="72">
        <f t="shared" si="4"/>
        <v>0</v>
      </c>
      <c r="F53" s="115">
        <v>0</v>
      </c>
      <c r="G53" s="116">
        <v>0</v>
      </c>
      <c r="H53" s="116">
        <v>0</v>
      </c>
    </row>
    <row r="54" spans="1:8" ht="15.95" outlineLevel="2">
      <c r="A54" s="749"/>
      <c r="B54" s="750"/>
      <c r="C54" s="750"/>
      <c r="D54" s="68" t="s">
        <v>118</v>
      </c>
      <c r="E54" s="72">
        <f t="shared" si="4"/>
        <v>0</v>
      </c>
      <c r="F54" s="115">
        <v>0</v>
      </c>
      <c r="G54" s="116">
        <v>0</v>
      </c>
      <c r="H54" s="116">
        <v>0</v>
      </c>
    </row>
    <row r="55" spans="1:8" ht="15.95" outlineLevel="2">
      <c r="A55" s="749"/>
      <c r="B55" s="750"/>
      <c r="C55" s="750"/>
      <c r="D55" s="68" t="s">
        <v>119</v>
      </c>
      <c r="E55" s="73">
        <f t="shared" si="4"/>
        <v>0</v>
      </c>
      <c r="F55" s="117">
        <v>0</v>
      </c>
      <c r="G55" s="118">
        <v>0</v>
      </c>
      <c r="H55" s="118">
        <v>0</v>
      </c>
    </row>
    <row r="56" spans="1:8">
      <c r="A56" s="745" t="s">
        <v>211</v>
      </c>
      <c r="B56" s="746"/>
      <c r="C56" s="746"/>
      <c r="D56" s="80"/>
      <c r="E56" s="77">
        <f t="shared" ref="E56:F56" si="5">E57+E78</f>
        <v>32356439.859999999</v>
      </c>
      <c r="F56" s="78">
        <f t="shared" si="5"/>
        <v>12253866.499999998</v>
      </c>
      <c r="G56" s="78">
        <f>G57+G78</f>
        <v>13879925.359999999</v>
      </c>
      <c r="H56" s="78">
        <f>H57+H78</f>
        <v>6222648</v>
      </c>
    </row>
    <row r="57" spans="1:8" outlineLevel="1">
      <c r="A57" s="17" t="s">
        <v>212</v>
      </c>
      <c r="B57" s="17"/>
      <c r="C57" s="17"/>
      <c r="D57" s="28"/>
      <c r="E57" s="125">
        <f t="shared" ref="E57:F57" si="6">SUM(E58:E77)</f>
        <v>7152420.6600000001</v>
      </c>
      <c r="F57" s="126">
        <f t="shared" si="6"/>
        <v>3059802.5</v>
      </c>
      <c r="G57" s="126">
        <f>SUM(G58:G77)</f>
        <v>3015618.16</v>
      </c>
      <c r="H57" s="126">
        <f>SUM(H58:H77)</f>
        <v>1077000</v>
      </c>
    </row>
    <row r="58" spans="1:8" ht="15.95" outlineLevel="2">
      <c r="A58" s="749" t="s">
        <v>213</v>
      </c>
      <c r="B58" s="750" t="s">
        <v>214</v>
      </c>
      <c r="C58" s="750">
        <v>635009</v>
      </c>
      <c r="D58" s="67" t="s">
        <v>110</v>
      </c>
      <c r="E58" s="64">
        <f t="shared" ref="E58:E77" si="7">SUM(F58:H58)</f>
        <v>1813789.33</v>
      </c>
      <c r="F58" s="120">
        <v>305980.25</v>
      </c>
      <c r="G58" s="120">
        <v>1507809.08</v>
      </c>
      <c r="H58" s="120">
        <v>0</v>
      </c>
    </row>
    <row r="59" spans="1:8" ht="15.95" outlineLevel="2">
      <c r="A59" s="749"/>
      <c r="B59" s="750"/>
      <c r="C59" s="750"/>
      <c r="D59" s="68" t="s">
        <v>111</v>
      </c>
      <c r="E59" s="65">
        <f t="shared" si="7"/>
        <v>1813789.33</v>
      </c>
      <c r="F59" s="121">
        <v>305980.25</v>
      </c>
      <c r="G59" s="122">
        <v>1507809.08</v>
      </c>
      <c r="H59" s="122">
        <v>0</v>
      </c>
    </row>
    <row r="60" spans="1:8" ht="15.95" outlineLevel="2">
      <c r="A60" s="749"/>
      <c r="B60" s="750"/>
      <c r="C60" s="750"/>
      <c r="D60" s="68" t="s">
        <v>112</v>
      </c>
      <c r="E60" s="65">
        <f t="shared" si="7"/>
        <v>440605.25</v>
      </c>
      <c r="F60" s="121">
        <v>305980.25</v>
      </c>
      <c r="G60" s="122">
        <v>0</v>
      </c>
      <c r="H60" s="122">
        <f>'BPM evaluation'!H4</f>
        <v>134625</v>
      </c>
    </row>
    <row r="61" spans="1:8" ht="15.95" outlineLevel="2">
      <c r="A61" s="749"/>
      <c r="B61" s="750"/>
      <c r="C61" s="750"/>
      <c r="D61" s="68" t="s">
        <v>113</v>
      </c>
      <c r="E61" s="65">
        <f t="shared" si="7"/>
        <v>440605.25</v>
      </c>
      <c r="F61" s="121">
        <v>305980.25</v>
      </c>
      <c r="G61" s="122">
        <v>0</v>
      </c>
      <c r="H61" s="122">
        <f>H60</f>
        <v>134625</v>
      </c>
    </row>
    <row r="62" spans="1:8" ht="15.95" outlineLevel="2">
      <c r="A62" s="749"/>
      <c r="B62" s="750"/>
      <c r="C62" s="750"/>
      <c r="D62" s="68" t="s">
        <v>114</v>
      </c>
      <c r="E62" s="65">
        <f t="shared" si="7"/>
        <v>440605.25</v>
      </c>
      <c r="F62" s="121">
        <v>305980.25</v>
      </c>
      <c r="G62" s="122">
        <v>0</v>
      </c>
      <c r="H62" s="122">
        <f t="shared" ref="H62:H67" si="8">H61</f>
        <v>134625</v>
      </c>
    </row>
    <row r="63" spans="1:8" ht="15.95" outlineLevel="2">
      <c r="A63" s="749"/>
      <c r="B63" s="750"/>
      <c r="C63" s="750"/>
      <c r="D63" s="68" t="s">
        <v>115</v>
      </c>
      <c r="E63" s="65">
        <f t="shared" si="7"/>
        <v>440605.25</v>
      </c>
      <c r="F63" s="121">
        <v>305980.25</v>
      </c>
      <c r="G63" s="122">
        <v>0</v>
      </c>
      <c r="H63" s="122">
        <f t="shared" si="8"/>
        <v>134625</v>
      </c>
    </row>
    <row r="64" spans="1:8" ht="15.95" outlineLevel="2">
      <c r="A64" s="749"/>
      <c r="B64" s="750"/>
      <c r="C64" s="750"/>
      <c r="D64" s="68" t="s">
        <v>116</v>
      </c>
      <c r="E64" s="65">
        <f t="shared" si="7"/>
        <v>440605.25</v>
      </c>
      <c r="F64" s="121">
        <v>305980.25</v>
      </c>
      <c r="G64" s="122">
        <v>0</v>
      </c>
      <c r="H64" s="122">
        <f t="shared" si="8"/>
        <v>134625</v>
      </c>
    </row>
    <row r="65" spans="1:8" ht="15.95" outlineLevel="2">
      <c r="A65" s="749"/>
      <c r="B65" s="750"/>
      <c r="C65" s="750"/>
      <c r="D65" s="68" t="s">
        <v>117</v>
      </c>
      <c r="E65" s="65">
        <f t="shared" si="7"/>
        <v>440605.25</v>
      </c>
      <c r="F65" s="121">
        <v>305980.25</v>
      </c>
      <c r="G65" s="122">
        <v>0</v>
      </c>
      <c r="H65" s="122">
        <f t="shared" si="8"/>
        <v>134625</v>
      </c>
    </row>
    <row r="66" spans="1:8" ht="15.95" outlineLevel="2">
      <c r="A66" s="749"/>
      <c r="B66" s="750"/>
      <c r="C66" s="750"/>
      <c r="D66" s="68" t="s">
        <v>118</v>
      </c>
      <c r="E66" s="65">
        <f t="shared" si="7"/>
        <v>440605.25</v>
      </c>
      <c r="F66" s="121">
        <v>305980.25</v>
      </c>
      <c r="G66" s="122">
        <v>0</v>
      </c>
      <c r="H66" s="122">
        <f t="shared" si="8"/>
        <v>134625</v>
      </c>
    </row>
    <row r="67" spans="1:8" ht="15.95" outlineLevel="2">
      <c r="A67" s="749"/>
      <c r="B67" s="750"/>
      <c r="C67" s="750"/>
      <c r="D67" s="69" t="s">
        <v>119</v>
      </c>
      <c r="E67" s="66">
        <f t="shared" si="7"/>
        <v>440605.25</v>
      </c>
      <c r="F67" s="121">
        <v>305980.25</v>
      </c>
      <c r="G67" s="124">
        <v>0</v>
      </c>
      <c r="H67" s="122">
        <f t="shared" si="8"/>
        <v>134625</v>
      </c>
    </row>
    <row r="68" spans="1:8" ht="15.95" outlineLevel="2">
      <c r="A68" s="749" t="s">
        <v>215</v>
      </c>
      <c r="B68" s="750" t="s">
        <v>216</v>
      </c>
      <c r="C68" s="750">
        <v>718006</v>
      </c>
      <c r="D68" s="67" t="s">
        <v>110</v>
      </c>
      <c r="E68" s="65">
        <f t="shared" si="7"/>
        <v>0</v>
      </c>
      <c r="F68" s="119">
        <v>0</v>
      </c>
      <c r="G68" s="120">
        <v>0</v>
      </c>
      <c r="H68" s="120">
        <v>0</v>
      </c>
    </row>
    <row r="69" spans="1:8" ht="15.95" outlineLevel="2">
      <c r="A69" s="749"/>
      <c r="B69" s="750"/>
      <c r="C69" s="750"/>
      <c r="D69" s="68" t="s">
        <v>111</v>
      </c>
      <c r="E69" s="65">
        <f t="shared" si="7"/>
        <v>0</v>
      </c>
      <c r="F69" s="121">
        <v>0</v>
      </c>
      <c r="G69" s="122">
        <v>0</v>
      </c>
      <c r="H69" s="122">
        <v>0</v>
      </c>
    </row>
    <row r="70" spans="1:8" ht="15.95" outlineLevel="2">
      <c r="A70" s="749"/>
      <c r="B70" s="750"/>
      <c r="C70" s="750"/>
      <c r="D70" s="68" t="s">
        <v>112</v>
      </c>
      <c r="E70" s="65">
        <f t="shared" si="7"/>
        <v>0</v>
      </c>
      <c r="F70" s="121">
        <v>0</v>
      </c>
      <c r="G70" s="122">
        <v>0</v>
      </c>
      <c r="H70" s="122">
        <v>0</v>
      </c>
    </row>
    <row r="71" spans="1:8" ht="15.95" outlineLevel="2">
      <c r="A71" s="749"/>
      <c r="B71" s="750"/>
      <c r="C71" s="750"/>
      <c r="D71" s="68" t="s">
        <v>113</v>
      </c>
      <c r="E71" s="65">
        <f t="shared" si="7"/>
        <v>0</v>
      </c>
      <c r="F71" s="121">
        <v>0</v>
      </c>
      <c r="G71" s="122">
        <v>0</v>
      </c>
      <c r="H71" s="122">
        <v>0</v>
      </c>
    </row>
    <row r="72" spans="1:8" ht="15.95" outlineLevel="2">
      <c r="A72" s="749"/>
      <c r="B72" s="750"/>
      <c r="C72" s="750"/>
      <c r="D72" s="68" t="s">
        <v>114</v>
      </c>
      <c r="E72" s="65">
        <f t="shared" si="7"/>
        <v>0</v>
      </c>
      <c r="F72" s="121">
        <v>0</v>
      </c>
      <c r="G72" s="122">
        <v>0</v>
      </c>
      <c r="H72" s="122">
        <v>0</v>
      </c>
    </row>
    <row r="73" spans="1:8" ht="15.95" outlineLevel="2">
      <c r="A73" s="749"/>
      <c r="B73" s="750"/>
      <c r="C73" s="750"/>
      <c r="D73" s="68" t="s">
        <v>115</v>
      </c>
      <c r="E73" s="65">
        <f t="shared" si="7"/>
        <v>0</v>
      </c>
      <c r="F73" s="121">
        <v>0</v>
      </c>
      <c r="G73" s="122">
        <v>0</v>
      </c>
      <c r="H73" s="122">
        <v>0</v>
      </c>
    </row>
    <row r="74" spans="1:8" ht="15.95" outlineLevel="2">
      <c r="A74" s="749"/>
      <c r="B74" s="750"/>
      <c r="C74" s="750"/>
      <c r="D74" s="68" t="s">
        <v>116</v>
      </c>
      <c r="E74" s="65">
        <f t="shared" si="7"/>
        <v>0</v>
      </c>
      <c r="F74" s="121">
        <v>0</v>
      </c>
      <c r="G74" s="122">
        <v>0</v>
      </c>
      <c r="H74" s="122">
        <v>0</v>
      </c>
    </row>
    <row r="75" spans="1:8" ht="15.95" outlineLevel="2">
      <c r="A75" s="749"/>
      <c r="B75" s="750"/>
      <c r="C75" s="750"/>
      <c r="D75" s="68" t="s">
        <v>117</v>
      </c>
      <c r="E75" s="65">
        <f t="shared" si="7"/>
        <v>0</v>
      </c>
      <c r="F75" s="121">
        <v>0</v>
      </c>
      <c r="G75" s="122">
        <v>0</v>
      </c>
      <c r="H75" s="122">
        <v>0</v>
      </c>
    </row>
    <row r="76" spans="1:8" ht="15.95" outlineLevel="2">
      <c r="A76" s="749"/>
      <c r="B76" s="750"/>
      <c r="C76" s="750"/>
      <c r="D76" s="68" t="s">
        <v>118</v>
      </c>
      <c r="E76" s="65">
        <f t="shared" si="7"/>
        <v>0</v>
      </c>
      <c r="F76" s="121">
        <v>0</v>
      </c>
      <c r="G76" s="122">
        <v>0</v>
      </c>
      <c r="H76" s="122">
        <v>0</v>
      </c>
    </row>
    <row r="77" spans="1:8" ht="15.95" outlineLevel="2">
      <c r="A77" s="749"/>
      <c r="B77" s="750"/>
      <c r="C77" s="750"/>
      <c r="D77" s="69" t="s">
        <v>119</v>
      </c>
      <c r="E77" s="66">
        <f t="shared" si="7"/>
        <v>0</v>
      </c>
      <c r="F77" s="123">
        <v>0</v>
      </c>
      <c r="G77" s="124">
        <v>0</v>
      </c>
      <c r="H77" s="124">
        <v>0</v>
      </c>
    </row>
    <row r="78" spans="1:8" outlineLevel="1">
      <c r="A78" s="17" t="s">
        <v>81</v>
      </c>
      <c r="B78" s="17"/>
      <c r="C78" s="17"/>
      <c r="D78" s="28"/>
      <c r="E78" s="127">
        <f t="shared" ref="E78:F78" si="9">SUM(E79:E128)</f>
        <v>25204019.199999999</v>
      </c>
      <c r="F78" s="128">
        <f t="shared" si="9"/>
        <v>9194063.9999999981</v>
      </c>
      <c r="G78" s="128">
        <f>SUM(G79:G128)</f>
        <v>10864307.199999999</v>
      </c>
      <c r="H78" s="128">
        <f>SUM(H79:H128)</f>
        <v>5145648</v>
      </c>
    </row>
    <row r="79" spans="1:8" ht="15.95" outlineLevel="2">
      <c r="A79" s="749" t="s">
        <v>217</v>
      </c>
      <c r="B79" s="750" t="s">
        <v>214</v>
      </c>
      <c r="C79" s="750">
        <v>635009</v>
      </c>
      <c r="D79" s="67" t="s">
        <v>110</v>
      </c>
      <c r="E79" s="71">
        <f t="shared" ref="E79:E110" si="10">SUM(F79:H79)</f>
        <v>3581891.2</v>
      </c>
      <c r="F79" s="113">
        <v>623001.59999999998</v>
      </c>
      <c r="G79" s="114">
        <v>2958889.6</v>
      </c>
      <c r="H79" s="114">
        <v>0</v>
      </c>
    </row>
    <row r="80" spans="1:8" ht="15.95" outlineLevel="2">
      <c r="A80" s="749"/>
      <c r="B80" s="750"/>
      <c r="C80" s="750"/>
      <c r="D80" s="68" t="s">
        <v>111</v>
      </c>
      <c r="E80" s="72">
        <f t="shared" si="10"/>
        <v>3581891.2</v>
      </c>
      <c r="F80" s="115">
        <v>623001.59999999998</v>
      </c>
      <c r="G80" s="116">
        <v>2958889.6</v>
      </c>
      <c r="H80" s="116">
        <v>0</v>
      </c>
    </row>
    <row r="81" spans="1:8" ht="15.95" outlineLevel="2">
      <c r="A81" s="749"/>
      <c r="B81" s="750"/>
      <c r="C81" s="750"/>
      <c r="D81" s="68" t="s">
        <v>112</v>
      </c>
      <c r="E81" s="72">
        <f t="shared" si="10"/>
        <v>1439015.6</v>
      </c>
      <c r="F81" s="115">
        <f>$F$25*10%/2+$F$79</f>
        <v>808254.6</v>
      </c>
      <c r="G81" s="116">
        <f>$G$25*10%/2</f>
        <v>309158</v>
      </c>
      <c r="H81" s="116">
        <f>$H$25*10%/2</f>
        <v>321603</v>
      </c>
    </row>
    <row r="82" spans="1:8" ht="15.95" outlineLevel="2">
      <c r="A82" s="749"/>
      <c r="B82" s="750"/>
      <c r="C82" s="750"/>
      <c r="D82" s="68" t="s">
        <v>113</v>
      </c>
      <c r="E82" s="72">
        <f t="shared" si="10"/>
        <v>1439015.6</v>
      </c>
      <c r="F82" s="115">
        <f t="shared" ref="F82:F87" si="11">$F$25*10%/2+$F$79</f>
        <v>808254.6</v>
      </c>
      <c r="G82" s="116">
        <f t="shared" ref="G82:G87" si="12">$G$25*10%/2</f>
        <v>309158</v>
      </c>
      <c r="H82" s="116">
        <f t="shared" ref="H82:H87" si="13">$H$25*10%/2</f>
        <v>321603</v>
      </c>
    </row>
    <row r="83" spans="1:8" ht="15.95" outlineLevel="2">
      <c r="A83" s="749"/>
      <c r="B83" s="750"/>
      <c r="C83" s="750"/>
      <c r="D83" s="68" t="s">
        <v>114</v>
      </c>
      <c r="E83" s="72">
        <f t="shared" si="10"/>
        <v>1439015.6</v>
      </c>
      <c r="F83" s="115">
        <f t="shared" si="11"/>
        <v>808254.6</v>
      </c>
      <c r="G83" s="116">
        <f t="shared" si="12"/>
        <v>309158</v>
      </c>
      <c r="H83" s="116">
        <f t="shared" si="13"/>
        <v>321603</v>
      </c>
    </row>
    <row r="84" spans="1:8" ht="15.95" outlineLevel="2">
      <c r="A84" s="749"/>
      <c r="B84" s="750"/>
      <c r="C84" s="750"/>
      <c r="D84" s="68" t="s">
        <v>115</v>
      </c>
      <c r="E84" s="72">
        <f t="shared" si="10"/>
        <v>1439015.6</v>
      </c>
      <c r="F84" s="115">
        <f t="shared" si="11"/>
        <v>808254.6</v>
      </c>
      <c r="G84" s="116">
        <f t="shared" si="12"/>
        <v>309158</v>
      </c>
      <c r="H84" s="116">
        <f t="shared" si="13"/>
        <v>321603</v>
      </c>
    </row>
    <row r="85" spans="1:8" ht="15.95" outlineLevel="2">
      <c r="A85" s="749"/>
      <c r="B85" s="750"/>
      <c r="C85" s="750"/>
      <c r="D85" s="68" t="s">
        <v>116</v>
      </c>
      <c r="E85" s="72">
        <f t="shared" si="10"/>
        <v>1439015.6</v>
      </c>
      <c r="F85" s="115">
        <f t="shared" si="11"/>
        <v>808254.6</v>
      </c>
      <c r="G85" s="116">
        <f t="shared" si="12"/>
        <v>309158</v>
      </c>
      <c r="H85" s="116">
        <f t="shared" si="13"/>
        <v>321603</v>
      </c>
    </row>
    <row r="86" spans="1:8" ht="15.95" outlineLevel="2">
      <c r="A86" s="749"/>
      <c r="B86" s="750"/>
      <c r="C86" s="750"/>
      <c r="D86" s="68" t="s">
        <v>117</v>
      </c>
      <c r="E86" s="72">
        <f t="shared" si="10"/>
        <v>1439015.6</v>
      </c>
      <c r="F86" s="115">
        <f t="shared" si="11"/>
        <v>808254.6</v>
      </c>
      <c r="G86" s="116">
        <f t="shared" si="12"/>
        <v>309158</v>
      </c>
      <c r="H86" s="116">
        <f t="shared" si="13"/>
        <v>321603</v>
      </c>
    </row>
    <row r="87" spans="1:8" ht="15.95" outlineLevel="2">
      <c r="A87" s="749"/>
      <c r="B87" s="750"/>
      <c r="C87" s="750"/>
      <c r="D87" s="68" t="s">
        <v>118</v>
      </c>
      <c r="E87" s="72">
        <f t="shared" si="10"/>
        <v>1439015.6</v>
      </c>
      <c r="F87" s="115">
        <f t="shared" si="11"/>
        <v>808254.6</v>
      </c>
      <c r="G87" s="116">
        <f t="shared" si="12"/>
        <v>309158</v>
      </c>
      <c r="H87" s="116">
        <f t="shared" si="13"/>
        <v>321603</v>
      </c>
    </row>
    <row r="88" spans="1:8" ht="15.95" outlineLevel="2">
      <c r="A88" s="749"/>
      <c r="B88" s="750"/>
      <c r="C88" s="750"/>
      <c r="D88" s="69" t="s">
        <v>119</v>
      </c>
      <c r="E88" s="73">
        <f t="shared" si="10"/>
        <v>1439015.6</v>
      </c>
      <c r="F88" s="115">
        <f>$F$25*10%/2+$F$79</f>
        <v>808254.6</v>
      </c>
      <c r="G88" s="116">
        <f>$G$25*10%/2</f>
        <v>309158</v>
      </c>
      <c r="H88" s="116">
        <f>$H$25*10%/2</f>
        <v>321603</v>
      </c>
    </row>
    <row r="89" spans="1:8" ht="15.95" outlineLevel="2">
      <c r="A89" s="749" t="s">
        <v>218</v>
      </c>
      <c r="B89" s="750" t="s">
        <v>219</v>
      </c>
      <c r="C89" s="750">
        <v>637005</v>
      </c>
      <c r="D89" s="67" t="s">
        <v>110</v>
      </c>
      <c r="E89" s="72">
        <f t="shared" si="10"/>
        <v>0</v>
      </c>
      <c r="F89" s="113">
        <v>0</v>
      </c>
      <c r="G89" s="114">
        <v>0</v>
      </c>
      <c r="H89" s="114">
        <v>0</v>
      </c>
    </row>
    <row r="90" spans="1:8" ht="15.95" outlineLevel="2">
      <c r="A90" s="749"/>
      <c r="B90" s="750"/>
      <c r="C90" s="750"/>
      <c r="D90" s="68" t="s">
        <v>111</v>
      </c>
      <c r="E90" s="72">
        <f t="shared" si="10"/>
        <v>0</v>
      </c>
      <c r="F90" s="115">
        <v>0</v>
      </c>
      <c r="G90" s="116">
        <v>0</v>
      </c>
      <c r="H90" s="116">
        <v>0</v>
      </c>
    </row>
    <row r="91" spans="1:8" ht="15.95" outlineLevel="2">
      <c r="A91" s="749"/>
      <c r="B91" s="750"/>
      <c r="C91" s="750"/>
      <c r="D91" s="68" t="s">
        <v>112</v>
      </c>
      <c r="E91" s="72">
        <f t="shared" si="10"/>
        <v>0</v>
      </c>
      <c r="F91" s="115">
        <v>0</v>
      </c>
      <c r="G91" s="116">
        <v>0</v>
      </c>
      <c r="H91" s="116">
        <v>0</v>
      </c>
    </row>
    <row r="92" spans="1:8" ht="15.95" outlineLevel="2">
      <c r="A92" s="749"/>
      <c r="B92" s="750"/>
      <c r="C92" s="750"/>
      <c r="D92" s="68" t="s">
        <v>113</v>
      </c>
      <c r="E92" s="72">
        <f t="shared" si="10"/>
        <v>0</v>
      </c>
      <c r="F92" s="115">
        <v>0</v>
      </c>
      <c r="G92" s="116">
        <v>0</v>
      </c>
      <c r="H92" s="116">
        <v>0</v>
      </c>
    </row>
    <row r="93" spans="1:8" ht="15.95" outlineLevel="2">
      <c r="A93" s="749"/>
      <c r="B93" s="750"/>
      <c r="C93" s="750"/>
      <c r="D93" s="68" t="s">
        <v>114</v>
      </c>
      <c r="E93" s="72">
        <f t="shared" si="10"/>
        <v>0</v>
      </c>
      <c r="F93" s="115">
        <v>0</v>
      </c>
      <c r="G93" s="116">
        <v>0</v>
      </c>
      <c r="H93" s="116">
        <v>0</v>
      </c>
    </row>
    <row r="94" spans="1:8" ht="15.95" outlineLevel="2">
      <c r="A94" s="749"/>
      <c r="B94" s="750"/>
      <c r="C94" s="750"/>
      <c r="D94" s="68" t="s">
        <v>115</v>
      </c>
      <c r="E94" s="72">
        <f t="shared" si="10"/>
        <v>0</v>
      </c>
      <c r="F94" s="115">
        <v>0</v>
      </c>
      <c r="G94" s="116">
        <v>0</v>
      </c>
      <c r="H94" s="116">
        <v>0</v>
      </c>
    </row>
    <row r="95" spans="1:8" ht="15.95" outlineLevel="2">
      <c r="A95" s="749"/>
      <c r="B95" s="750"/>
      <c r="C95" s="750"/>
      <c r="D95" s="68" t="s">
        <v>116</v>
      </c>
      <c r="E95" s="72">
        <f t="shared" si="10"/>
        <v>0</v>
      </c>
      <c r="F95" s="115">
        <v>0</v>
      </c>
      <c r="G95" s="116">
        <v>0</v>
      </c>
      <c r="H95" s="116">
        <v>0</v>
      </c>
    </row>
    <row r="96" spans="1:8" ht="15.95" outlineLevel="2">
      <c r="A96" s="749"/>
      <c r="B96" s="750"/>
      <c r="C96" s="750"/>
      <c r="D96" s="68" t="s">
        <v>117</v>
      </c>
      <c r="E96" s="72">
        <f t="shared" si="10"/>
        <v>0</v>
      </c>
      <c r="F96" s="115">
        <v>0</v>
      </c>
      <c r="G96" s="116">
        <v>0</v>
      </c>
      <c r="H96" s="116">
        <v>0</v>
      </c>
    </row>
    <row r="97" spans="1:8" ht="15.95" outlineLevel="2">
      <c r="A97" s="749"/>
      <c r="B97" s="750"/>
      <c r="C97" s="750"/>
      <c r="D97" s="68" t="s">
        <v>118</v>
      </c>
      <c r="E97" s="72">
        <f t="shared" si="10"/>
        <v>0</v>
      </c>
      <c r="F97" s="115">
        <v>0</v>
      </c>
      <c r="G97" s="116">
        <v>0</v>
      </c>
      <c r="H97" s="116">
        <v>0</v>
      </c>
    </row>
    <row r="98" spans="1:8" ht="15.95" outlineLevel="2">
      <c r="A98" s="749"/>
      <c r="B98" s="750"/>
      <c r="C98" s="750"/>
      <c r="D98" s="69" t="s">
        <v>119</v>
      </c>
      <c r="E98" s="73">
        <f t="shared" si="10"/>
        <v>0</v>
      </c>
      <c r="F98" s="117">
        <v>0</v>
      </c>
      <c r="G98" s="118">
        <v>0</v>
      </c>
      <c r="H98" s="118">
        <v>0</v>
      </c>
    </row>
    <row r="99" spans="1:8" ht="15.95" outlineLevel="2">
      <c r="A99" s="749" t="s">
        <v>220</v>
      </c>
      <c r="B99" s="750" t="s">
        <v>216</v>
      </c>
      <c r="C99" s="750">
        <v>718006</v>
      </c>
      <c r="D99" s="67" t="s">
        <v>110</v>
      </c>
      <c r="E99" s="72">
        <f t="shared" si="10"/>
        <v>0</v>
      </c>
      <c r="F99" s="113">
        <v>0</v>
      </c>
      <c r="G99" s="114">
        <v>0</v>
      </c>
      <c r="H99" s="114">
        <v>0</v>
      </c>
    </row>
    <row r="100" spans="1:8" ht="15.95" outlineLevel="2">
      <c r="A100" s="749"/>
      <c r="B100" s="750"/>
      <c r="C100" s="750"/>
      <c r="D100" s="68" t="s">
        <v>111</v>
      </c>
      <c r="E100" s="72">
        <f t="shared" si="10"/>
        <v>0</v>
      </c>
      <c r="F100" s="115">
        <v>0</v>
      </c>
      <c r="G100" s="116">
        <v>0</v>
      </c>
      <c r="H100" s="116">
        <v>0</v>
      </c>
    </row>
    <row r="101" spans="1:8" ht="15.95" outlineLevel="2">
      <c r="A101" s="749"/>
      <c r="B101" s="750"/>
      <c r="C101" s="750"/>
      <c r="D101" s="68" t="s">
        <v>112</v>
      </c>
      <c r="E101" s="72">
        <f t="shared" si="10"/>
        <v>816014</v>
      </c>
      <c r="F101" s="115">
        <f>$F$25*10%/2</f>
        <v>185253</v>
      </c>
      <c r="G101" s="116">
        <f>$G$25*10%/2</f>
        <v>309158</v>
      </c>
      <c r="H101" s="116">
        <f>$H$25*10%/2</f>
        <v>321603</v>
      </c>
    </row>
    <row r="102" spans="1:8" ht="15.95" outlineLevel="2">
      <c r="A102" s="749"/>
      <c r="B102" s="750"/>
      <c r="C102" s="750"/>
      <c r="D102" s="68" t="s">
        <v>113</v>
      </c>
      <c r="E102" s="72">
        <f t="shared" si="10"/>
        <v>816014</v>
      </c>
      <c r="F102" s="115">
        <f t="shared" ref="F102:F107" si="14">$F$25*10%/2</f>
        <v>185253</v>
      </c>
      <c r="G102" s="116">
        <f t="shared" ref="G102:G107" si="15">$G$25*10%/2</f>
        <v>309158</v>
      </c>
      <c r="H102" s="116">
        <f t="shared" ref="H102:H107" si="16">$H$25*10%/2</f>
        <v>321603</v>
      </c>
    </row>
    <row r="103" spans="1:8" ht="15.95" outlineLevel="2">
      <c r="A103" s="749"/>
      <c r="B103" s="750"/>
      <c r="C103" s="750"/>
      <c r="D103" s="68" t="s">
        <v>114</v>
      </c>
      <c r="E103" s="72">
        <f t="shared" si="10"/>
        <v>816014</v>
      </c>
      <c r="F103" s="115">
        <f t="shared" si="14"/>
        <v>185253</v>
      </c>
      <c r="G103" s="116">
        <f t="shared" si="15"/>
        <v>309158</v>
      </c>
      <c r="H103" s="116">
        <f t="shared" si="16"/>
        <v>321603</v>
      </c>
    </row>
    <row r="104" spans="1:8" ht="15.95" outlineLevel="2">
      <c r="A104" s="749"/>
      <c r="B104" s="750"/>
      <c r="C104" s="750"/>
      <c r="D104" s="68" t="s">
        <v>115</v>
      </c>
      <c r="E104" s="72">
        <f t="shared" si="10"/>
        <v>816014</v>
      </c>
      <c r="F104" s="115">
        <f t="shared" si="14"/>
        <v>185253</v>
      </c>
      <c r="G104" s="116">
        <f t="shared" si="15"/>
        <v>309158</v>
      </c>
      <c r="H104" s="116">
        <f t="shared" si="16"/>
        <v>321603</v>
      </c>
    </row>
    <row r="105" spans="1:8" ht="15.95" outlineLevel="2">
      <c r="A105" s="749"/>
      <c r="B105" s="750"/>
      <c r="C105" s="750"/>
      <c r="D105" s="68" t="s">
        <v>116</v>
      </c>
      <c r="E105" s="72">
        <f t="shared" si="10"/>
        <v>816014</v>
      </c>
      <c r="F105" s="115">
        <f t="shared" si="14"/>
        <v>185253</v>
      </c>
      <c r="G105" s="116">
        <f t="shared" si="15"/>
        <v>309158</v>
      </c>
      <c r="H105" s="116">
        <f t="shared" si="16"/>
        <v>321603</v>
      </c>
    </row>
    <row r="106" spans="1:8" ht="15.95" outlineLevel="2">
      <c r="A106" s="749"/>
      <c r="B106" s="750"/>
      <c r="C106" s="750"/>
      <c r="D106" s="68" t="s">
        <v>117</v>
      </c>
      <c r="E106" s="72">
        <f t="shared" si="10"/>
        <v>816014</v>
      </c>
      <c r="F106" s="115">
        <f t="shared" si="14"/>
        <v>185253</v>
      </c>
      <c r="G106" s="116">
        <f t="shared" si="15"/>
        <v>309158</v>
      </c>
      <c r="H106" s="116">
        <f t="shared" si="16"/>
        <v>321603</v>
      </c>
    </row>
    <row r="107" spans="1:8" ht="15.95" outlineLevel="2">
      <c r="A107" s="749"/>
      <c r="B107" s="750"/>
      <c r="C107" s="750"/>
      <c r="D107" s="68" t="s">
        <v>118</v>
      </c>
      <c r="E107" s="72">
        <f t="shared" si="10"/>
        <v>816014</v>
      </c>
      <c r="F107" s="115">
        <f t="shared" si="14"/>
        <v>185253</v>
      </c>
      <c r="G107" s="116">
        <f t="shared" si="15"/>
        <v>309158</v>
      </c>
      <c r="H107" s="116">
        <f t="shared" si="16"/>
        <v>321603</v>
      </c>
    </row>
    <row r="108" spans="1:8" ht="15.95" outlineLevel="2">
      <c r="A108" s="749"/>
      <c r="B108" s="750"/>
      <c r="C108" s="750"/>
      <c r="D108" s="69" t="s">
        <v>119</v>
      </c>
      <c r="E108" s="73">
        <f t="shared" si="10"/>
        <v>816014</v>
      </c>
      <c r="F108" s="115">
        <f>$F$25*10%/2</f>
        <v>185253</v>
      </c>
      <c r="G108" s="116">
        <f>$G$25*10%/2</f>
        <v>309158</v>
      </c>
      <c r="H108" s="116">
        <f>$H$25*10%/2</f>
        <v>321603</v>
      </c>
    </row>
    <row r="109" spans="1:8" ht="15.95" outlineLevel="2">
      <c r="A109" s="749" t="s">
        <v>221</v>
      </c>
      <c r="B109" s="750" t="s">
        <v>222</v>
      </c>
      <c r="C109" s="750">
        <v>610</v>
      </c>
      <c r="D109" s="67" t="s">
        <v>110</v>
      </c>
      <c r="E109" s="72">
        <f t="shared" si="10"/>
        <v>0</v>
      </c>
      <c r="F109" s="113">
        <v>0</v>
      </c>
      <c r="G109" s="114">
        <v>0</v>
      </c>
      <c r="H109" s="114">
        <v>0</v>
      </c>
    </row>
    <row r="110" spans="1:8" ht="15.95" outlineLevel="2">
      <c r="A110" s="749"/>
      <c r="B110" s="750"/>
      <c r="C110" s="750"/>
      <c r="D110" s="68" t="s">
        <v>111</v>
      </c>
      <c r="E110" s="72">
        <f t="shared" si="10"/>
        <v>0</v>
      </c>
      <c r="F110" s="115">
        <v>0</v>
      </c>
      <c r="G110" s="116">
        <v>0</v>
      </c>
      <c r="H110" s="116">
        <v>0</v>
      </c>
    </row>
    <row r="111" spans="1:8" ht="15.95" outlineLevel="2">
      <c r="A111" s="749"/>
      <c r="B111" s="750"/>
      <c r="C111" s="750"/>
      <c r="D111" s="68" t="s">
        <v>112</v>
      </c>
      <c r="E111" s="72">
        <f t="shared" ref="E111:E128" si="17">SUM(F111:H111)</f>
        <v>0</v>
      </c>
      <c r="F111" s="115">
        <v>0</v>
      </c>
      <c r="G111" s="116">
        <v>0</v>
      </c>
      <c r="H111" s="116">
        <v>0</v>
      </c>
    </row>
    <row r="112" spans="1:8" ht="15.95" outlineLevel="2">
      <c r="A112" s="749"/>
      <c r="B112" s="750"/>
      <c r="C112" s="750"/>
      <c r="D112" s="68" t="s">
        <v>113</v>
      </c>
      <c r="E112" s="72">
        <f t="shared" si="17"/>
        <v>0</v>
      </c>
      <c r="F112" s="115">
        <v>0</v>
      </c>
      <c r="G112" s="116">
        <v>0</v>
      </c>
      <c r="H112" s="116">
        <v>0</v>
      </c>
    </row>
    <row r="113" spans="1:8" ht="15.95" outlineLevel="2">
      <c r="A113" s="749"/>
      <c r="B113" s="750"/>
      <c r="C113" s="750"/>
      <c r="D113" s="68" t="s">
        <v>114</v>
      </c>
      <c r="E113" s="72">
        <f t="shared" si="17"/>
        <v>0</v>
      </c>
      <c r="F113" s="115">
        <v>0</v>
      </c>
      <c r="G113" s="116">
        <v>0</v>
      </c>
      <c r="H113" s="116">
        <v>0</v>
      </c>
    </row>
    <row r="114" spans="1:8" ht="15.95" outlineLevel="2">
      <c r="A114" s="749"/>
      <c r="B114" s="750"/>
      <c r="C114" s="750"/>
      <c r="D114" s="68" t="s">
        <v>115</v>
      </c>
      <c r="E114" s="72">
        <f t="shared" si="17"/>
        <v>0</v>
      </c>
      <c r="F114" s="115">
        <v>0</v>
      </c>
      <c r="G114" s="116">
        <v>0</v>
      </c>
      <c r="H114" s="116">
        <v>0</v>
      </c>
    </row>
    <row r="115" spans="1:8" ht="15.95" outlineLevel="2">
      <c r="A115" s="749"/>
      <c r="B115" s="750"/>
      <c r="C115" s="750"/>
      <c r="D115" s="68" t="s">
        <v>116</v>
      </c>
      <c r="E115" s="72">
        <f t="shared" si="17"/>
        <v>0</v>
      </c>
      <c r="F115" s="115">
        <v>0</v>
      </c>
      <c r="G115" s="116">
        <v>0</v>
      </c>
      <c r="H115" s="116">
        <v>0</v>
      </c>
    </row>
    <row r="116" spans="1:8" ht="15.95" outlineLevel="2">
      <c r="A116" s="749"/>
      <c r="B116" s="750"/>
      <c r="C116" s="750"/>
      <c r="D116" s="68" t="s">
        <v>117</v>
      </c>
      <c r="E116" s="72">
        <f t="shared" si="17"/>
        <v>0</v>
      </c>
      <c r="F116" s="115">
        <v>0</v>
      </c>
      <c r="G116" s="116">
        <v>0</v>
      </c>
      <c r="H116" s="116">
        <v>0</v>
      </c>
    </row>
    <row r="117" spans="1:8" ht="15.95" outlineLevel="2">
      <c r="A117" s="749"/>
      <c r="B117" s="750"/>
      <c r="C117" s="750"/>
      <c r="D117" s="68" t="s">
        <v>118</v>
      </c>
      <c r="E117" s="72">
        <f t="shared" si="17"/>
        <v>0</v>
      </c>
      <c r="F117" s="115">
        <v>0</v>
      </c>
      <c r="G117" s="116">
        <v>0</v>
      </c>
      <c r="H117" s="116">
        <v>0</v>
      </c>
    </row>
    <row r="118" spans="1:8" ht="15.95" outlineLevel="2">
      <c r="A118" s="749"/>
      <c r="B118" s="750"/>
      <c r="C118" s="750"/>
      <c r="D118" s="69" t="s">
        <v>119</v>
      </c>
      <c r="E118" s="73">
        <f t="shared" si="17"/>
        <v>0</v>
      </c>
      <c r="F118" s="117">
        <v>0</v>
      </c>
      <c r="G118" s="118">
        <v>0</v>
      </c>
      <c r="H118" s="118">
        <v>0</v>
      </c>
    </row>
    <row r="119" spans="1:8" ht="15.95" outlineLevel="2">
      <c r="A119" s="749" t="s">
        <v>223</v>
      </c>
      <c r="B119" s="750" t="s">
        <v>219</v>
      </c>
      <c r="C119" s="750">
        <v>637001</v>
      </c>
      <c r="D119" s="67" t="s">
        <v>110</v>
      </c>
      <c r="E119" s="72">
        <f t="shared" si="17"/>
        <v>0</v>
      </c>
      <c r="F119" s="113">
        <v>0</v>
      </c>
      <c r="G119" s="114">
        <v>0</v>
      </c>
      <c r="H119" s="114">
        <v>0</v>
      </c>
    </row>
    <row r="120" spans="1:8" ht="15.95" outlineLevel="2">
      <c r="A120" s="749"/>
      <c r="B120" s="750"/>
      <c r="C120" s="750"/>
      <c r="D120" s="68" t="s">
        <v>111</v>
      </c>
      <c r="E120" s="72">
        <f t="shared" si="17"/>
        <v>0</v>
      </c>
      <c r="F120" s="115">
        <v>0</v>
      </c>
      <c r="G120" s="116">
        <v>0</v>
      </c>
      <c r="H120" s="116">
        <v>0</v>
      </c>
    </row>
    <row r="121" spans="1:8" ht="15.95" outlineLevel="2">
      <c r="A121" s="749"/>
      <c r="B121" s="750"/>
      <c r="C121" s="750"/>
      <c r="D121" s="68" t="s">
        <v>112</v>
      </c>
      <c r="E121" s="72">
        <f t="shared" si="17"/>
        <v>0</v>
      </c>
      <c r="F121" s="115">
        <v>0</v>
      </c>
      <c r="G121" s="116">
        <v>0</v>
      </c>
      <c r="H121" s="116">
        <v>0</v>
      </c>
    </row>
    <row r="122" spans="1:8" ht="15.95" outlineLevel="2">
      <c r="A122" s="749"/>
      <c r="B122" s="750"/>
      <c r="C122" s="750"/>
      <c r="D122" s="68" t="s">
        <v>113</v>
      </c>
      <c r="E122" s="72">
        <f t="shared" si="17"/>
        <v>0</v>
      </c>
      <c r="F122" s="115">
        <v>0</v>
      </c>
      <c r="G122" s="116">
        <v>0</v>
      </c>
      <c r="H122" s="116">
        <v>0</v>
      </c>
    </row>
    <row r="123" spans="1:8" ht="15.95" outlineLevel="2">
      <c r="A123" s="749"/>
      <c r="B123" s="750"/>
      <c r="C123" s="750"/>
      <c r="D123" s="68" t="s">
        <v>114</v>
      </c>
      <c r="E123" s="72">
        <f t="shared" si="17"/>
        <v>0</v>
      </c>
      <c r="F123" s="115">
        <v>0</v>
      </c>
      <c r="G123" s="116">
        <v>0</v>
      </c>
      <c r="H123" s="116">
        <v>0</v>
      </c>
    </row>
    <row r="124" spans="1:8" ht="15.95" outlineLevel="2">
      <c r="A124" s="749"/>
      <c r="B124" s="750"/>
      <c r="C124" s="750"/>
      <c r="D124" s="68" t="s">
        <v>115</v>
      </c>
      <c r="E124" s="72">
        <f t="shared" si="17"/>
        <v>0</v>
      </c>
      <c r="F124" s="115">
        <v>0</v>
      </c>
      <c r="G124" s="116">
        <v>0</v>
      </c>
      <c r="H124" s="116">
        <v>0</v>
      </c>
    </row>
    <row r="125" spans="1:8" ht="15.95" outlineLevel="2">
      <c r="A125" s="749"/>
      <c r="B125" s="750"/>
      <c r="C125" s="750"/>
      <c r="D125" s="68" t="s">
        <v>116</v>
      </c>
      <c r="E125" s="72">
        <f t="shared" si="17"/>
        <v>0</v>
      </c>
      <c r="F125" s="115">
        <v>0</v>
      </c>
      <c r="G125" s="116">
        <v>0</v>
      </c>
      <c r="H125" s="116">
        <v>0</v>
      </c>
    </row>
    <row r="126" spans="1:8" ht="15.95" outlineLevel="2">
      <c r="A126" s="749"/>
      <c r="B126" s="750"/>
      <c r="C126" s="750"/>
      <c r="D126" s="68" t="s">
        <v>117</v>
      </c>
      <c r="E126" s="72">
        <f t="shared" si="17"/>
        <v>0</v>
      </c>
      <c r="F126" s="115">
        <v>0</v>
      </c>
      <c r="G126" s="116">
        <v>0</v>
      </c>
      <c r="H126" s="116">
        <v>0</v>
      </c>
    </row>
    <row r="127" spans="1:8" ht="15.95" outlineLevel="2">
      <c r="A127" s="749"/>
      <c r="B127" s="750"/>
      <c r="C127" s="750"/>
      <c r="D127" s="68" t="s">
        <v>118</v>
      </c>
      <c r="E127" s="72">
        <f t="shared" si="17"/>
        <v>0</v>
      </c>
      <c r="F127" s="115">
        <v>0</v>
      </c>
      <c r="G127" s="116">
        <v>0</v>
      </c>
      <c r="H127" s="116">
        <v>0</v>
      </c>
    </row>
    <row r="128" spans="1:8" ht="15.95" outlineLevel="2">
      <c r="A128" s="749"/>
      <c r="B128" s="750"/>
      <c r="C128" s="750"/>
      <c r="D128" s="69" t="s">
        <v>119</v>
      </c>
      <c r="E128" s="73">
        <f t="shared" si="17"/>
        <v>0</v>
      </c>
      <c r="F128" s="117">
        <v>0</v>
      </c>
      <c r="G128" s="118">
        <v>0</v>
      </c>
      <c r="H128" s="118">
        <v>0</v>
      </c>
    </row>
    <row r="129" spans="1:9">
      <c r="A129" s="17" t="s">
        <v>229</v>
      </c>
      <c r="B129" s="17"/>
      <c r="C129" s="17"/>
      <c r="D129" s="28"/>
      <c r="E129" s="127">
        <f t="shared" ref="E129:F129" si="18">SUM(E130:E149)</f>
        <v>1256910.8736559139</v>
      </c>
      <c r="F129" s="128">
        <f t="shared" si="18"/>
        <v>1256910.8736559139</v>
      </c>
      <c r="G129" s="128">
        <f>SUM(G130:G149)</f>
        <v>0</v>
      </c>
      <c r="H129" s="128">
        <f>SUM(H130:H149)</f>
        <v>0</v>
      </c>
    </row>
    <row r="130" spans="1:9" ht="15.95">
      <c r="A130" s="749" t="s">
        <v>230</v>
      </c>
      <c r="B130" s="750"/>
      <c r="C130" s="750"/>
      <c r="D130" s="67" t="s">
        <v>110</v>
      </c>
      <c r="E130" s="71">
        <f t="shared" ref="E130:E149" si="19">SUM(F130:H130)</f>
        <v>538676.08870967734</v>
      </c>
      <c r="F130" s="113">
        <f>('Rozpočet - vývoj Aplikácií'!AL104+'Rozpočet - vývoj Aplikácií'!AL106)/2</f>
        <v>538676.08870967734</v>
      </c>
      <c r="G130" s="114">
        <v>0</v>
      </c>
      <c r="H130" s="114">
        <v>0</v>
      </c>
      <c r="I130" t="s">
        <v>231</v>
      </c>
    </row>
    <row r="131" spans="1:9" ht="15.95">
      <c r="A131" s="749"/>
      <c r="B131" s="750"/>
      <c r="C131" s="750"/>
      <c r="D131" s="68" t="s">
        <v>111</v>
      </c>
      <c r="E131" s="72">
        <f t="shared" si="19"/>
        <v>538676.08870967734</v>
      </c>
      <c r="F131" s="115">
        <f>('Rozpočet - vývoj Aplikácií'!AL104+'Rozpočet - vývoj Aplikácií'!AL106)/2</f>
        <v>538676.08870967734</v>
      </c>
      <c r="G131" s="116">
        <v>0</v>
      </c>
      <c r="H131" s="116">
        <v>0</v>
      </c>
      <c r="I131" t="s">
        <v>231</v>
      </c>
    </row>
    <row r="132" spans="1:9" ht="15.95">
      <c r="A132" s="749"/>
      <c r="B132" s="750"/>
      <c r="C132" s="750"/>
      <c r="D132" s="68" t="s">
        <v>112</v>
      </c>
      <c r="E132" s="72">
        <f t="shared" si="19"/>
        <v>0</v>
      </c>
      <c r="F132" s="115">
        <v>0</v>
      </c>
      <c r="G132" s="116">
        <v>0</v>
      </c>
      <c r="H132" s="116">
        <v>0</v>
      </c>
    </row>
    <row r="133" spans="1:9" ht="15.95">
      <c r="A133" s="749"/>
      <c r="B133" s="750"/>
      <c r="C133" s="750"/>
      <c r="D133" s="68" t="s">
        <v>113</v>
      </c>
      <c r="E133" s="72">
        <f t="shared" si="19"/>
        <v>0</v>
      </c>
      <c r="F133" s="115">
        <v>0</v>
      </c>
      <c r="G133" s="116">
        <v>0</v>
      </c>
      <c r="H133" s="116">
        <v>0</v>
      </c>
    </row>
    <row r="134" spans="1:9" ht="15.95">
      <c r="A134" s="749"/>
      <c r="B134" s="750"/>
      <c r="C134" s="750"/>
      <c r="D134" s="68" t="s">
        <v>114</v>
      </c>
      <c r="E134" s="72">
        <f t="shared" si="19"/>
        <v>0</v>
      </c>
      <c r="F134" s="115">
        <v>0</v>
      </c>
      <c r="G134" s="116">
        <v>0</v>
      </c>
      <c r="H134" s="116">
        <v>0</v>
      </c>
    </row>
    <row r="135" spans="1:9" ht="15.95">
      <c r="A135" s="749"/>
      <c r="B135" s="750"/>
      <c r="C135" s="750"/>
      <c r="D135" s="68" t="s">
        <v>115</v>
      </c>
      <c r="E135" s="72">
        <f t="shared" si="19"/>
        <v>0</v>
      </c>
      <c r="F135" s="115">
        <v>0</v>
      </c>
      <c r="G135" s="116">
        <v>0</v>
      </c>
      <c r="H135" s="116">
        <v>0</v>
      </c>
    </row>
    <row r="136" spans="1:9" ht="15.95">
      <c r="A136" s="749"/>
      <c r="B136" s="750"/>
      <c r="C136" s="750"/>
      <c r="D136" s="68" t="s">
        <v>116</v>
      </c>
      <c r="E136" s="72">
        <f t="shared" si="19"/>
        <v>0</v>
      </c>
      <c r="F136" s="115">
        <v>0</v>
      </c>
      <c r="G136" s="116">
        <v>0</v>
      </c>
      <c r="H136" s="116">
        <v>0</v>
      </c>
    </row>
    <row r="137" spans="1:9" ht="15.95">
      <c r="A137" s="749"/>
      <c r="B137" s="750"/>
      <c r="C137" s="750"/>
      <c r="D137" s="68" t="s">
        <v>117</v>
      </c>
      <c r="E137" s="72">
        <f t="shared" si="19"/>
        <v>0</v>
      </c>
      <c r="F137" s="115">
        <v>0</v>
      </c>
      <c r="G137" s="116">
        <v>0</v>
      </c>
      <c r="H137" s="116">
        <v>0</v>
      </c>
    </row>
    <row r="138" spans="1:9" ht="15.95">
      <c r="A138" s="749"/>
      <c r="B138" s="750"/>
      <c r="C138" s="750"/>
      <c r="D138" s="68" t="s">
        <v>118</v>
      </c>
      <c r="E138" s="72">
        <f t="shared" si="19"/>
        <v>0</v>
      </c>
      <c r="F138" s="115">
        <v>0</v>
      </c>
      <c r="G138" s="116">
        <v>0</v>
      </c>
      <c r="H138" s="116">
        <v>0</v>
      </c>
    </row>
    <row r="139" spans="1:9" ht="15.95">
      <c r="A139" s="749"/>
      <c r="B139" s="750"/>
      <c r="C139" s="750"/>
      <c r="D139" s="69" t="s">
        <v>119</v>
      </c>
      <c r="E139" s="73">
        <f t="shared" si="19"/>
        <v>0</v>
      </c>
      <c r="F139" s="117">
        <v>0</v>
      </c>
      <c r="G139" s="118">
        <v>0</v>
      </c>
      <c r="H139" s="118">
        <v>0</v>
      </c>
    </row>
    <row r="140" spans="1:9" ht="15.95">
      <c r="A140" s="749" t="s">
        <v>232</v>
      </c>
      <c r="B140" s="750"/>
      <c r="C140" s="750" t="s">
        <v>233</v>
      </c>
      <c r="D140" s="67" t="s">
        <v>110</v>
      </c>
      <c r="E140" s="72">
        <f t="shared" si="19"/>
        <v>89779.348118279566</v>
      </c>
      <c r="F140" s="113">
        <f>'Rozpočet - vývoj Aplikácií'!AL105/2</f>
        <v>89779.348118279566</v>
      </c>
      <c r="G140" s="114">
        <v>0</v>
      </c>
      <c r="H140" s="114">
        <v>0</v>
      </c>
    </row>
    <row r="141" spans="1:9" ht="15.95">
      <c r="A141" s="749"/>
      <c r="B141" s="750"/>
      <c r="C141" s="750"/>
      <c r="D141" s="68" t="s">
        <v>111</v>
      </c>
      <c r="E141" s="72">
        <f t="shared" si="19"/>
        <v>89779.348118279566</v>
      </c>
      <c r="F141" s="115">
        <f>'Rozpočet - vývoj Aplikácií'!AL105/2</f>
        <v>89779.348118279566</v>
      </c>
      <c r="G141" s="116">
        <v>0</v>
      </c>
      <c r="H141" s="116">
        <v>0</v>
      </c>
    </row>
    <row r="142" spans="1:9" ht="15.95">
      <c r="A142" s="749"/>
      <c r="B142" s="750"/>
      <c r="C142" s="750"/>
      <c r="D142" s="68" t="s">
        <v>112</v>
      </c>
      <c r="E142" s="72">
        <f t="shared" si="19"/>
        <v>0</v>
      </c>
      <c r="F142" s="115">
        <v>0</v>
      </c>
      <c r="G142" s="116">
        <v>0</v>
      </c>
      <c r="H142" s="116">
        <v>0</v>
      </c>
    </row>
    <row r="143" spans="1:9" ht="15.95">
      <c r="A143" s="749"/>
      <c r="B143" s="750"/>
      <c r="C143" s="750"/>
      <c r="D143" s="68" t="s">
        <v>113</v>
      </c>
      <c r="E143" s="72">
        <f t="shared" si="19"/>
        <v>0</v>
      </c>
      <c r="F143" s="115">
        <v>0</v>
      </c>
      <c r="G143" s="116">
        <v>0</v>
      </c>
      <c r="H143" s="116">
        <v>0</v>
      </c>
    </row>
    <row r="144" spans="1:9" ht="15.95">
      <c r="A144" s="749"/>
      <c r="B144" s="750"/>
      <c r="C144" s="750"/>
      <c r="D144" s="68" t="s">
        <v>114</v>
      </c>
      <c r="E144" s="72">
        <f t="shared" si="19"/>
        <v>0</v>
      </c>
      <c r="F144" s="115">
        <v>0</v>
      </c>
      <c r="G144" s="116">
        <v>0</v>
      </c>
      <c r="H144" s="116">
        <v>0</v>
      </c>
    </row>
    <row r="145" spans="1:8" ht="15.95">
      <c r="A145" s="749"/>
      <c r="B145" s="750"/>
      <c r="C145" s="750"/>
      <c r="D145" s="68" t="s">
        <v>115</v>
      </c>
      <c r="E145" s="72">
        <f t="shared" si="19"/>
        <v>0</v>
      </c>
      <c r="F145" s="115">
        <v>0</v>
      </c>
      <c r="G145" s="116">
        <v>0</v>
      </c>
      <c r="H145" s="116">
        <v>0</v>
      </c>
    </row>
    <row r="146" spans="1:8" ht="15.95">
      <c r="A146" s="749"/>
      <c r="B146" s="750"/>
      <c r="C146" s="750"/>
      <c r="D146" s="68" t="s">
        <v>116</v>
      </c>
      <c r="E146" s="72">
        <f t="shared" si="19"/>
        <v>0</v>
      </c>
      <c r="F146" s="115">
        <v>0</v>
      </c>
      <c r="G146" s="116">
        <v>0</v>
      </c>
      <c r="H146" s="116">
        <v>0</v>
      </c>
    </row>
    <row r="147" spans="1:8" ht="15.95">
      <c r="A147" s="749"/>
      <c r="B147" s="750"/>
      <c r="C147" s="750"/>
      <c r="D147" s="68" t="s">
        <v>117</v>
      </c>
      <c r="E147" s="72">
        <f t="shared" si="19"/>
        <v>0</v>
      </c>
      <c r="F147" s="115">
        <v>0</v>
      </c>
      <c r="G147" s="116">
        <v>0</v>
      </c>
      <c r="H147" s="116">
        <v>0</v>
      </c>
    </row>
    <row r="148" spans="1:8" ht="15.95">
      <c r="A148" s="749"/>
      <c r="B148" s="750"/>
      <c r="C148" s="750"/>
      <c r="D148" s="68" t="s">
        <v>118</v>
      </c>
      <c r="E148" s="72">
        <f t="shared" si="19"/>
        <v>0</v>
      </c>
      <c r="F148" s="115">
        <v>0</v>
      </c>
      <c r="G148" s="116">
        <v>0</v>
      </c>
      <c r="H148" s="116">
        <v>0</v>
      </c>
    </row>
    <row r="149" spans="1:8" ht="15.95">
      <c r="A149" s="749"/>
      <c r="B149" s="750"/>
      <c r="C149" s="750"/>
      <c r="D149" s="69" t="s">
        <v>119</v>
      </c>
      <c r="E149" s="73">
        <f t="shared" si="19"/>
        <v>0</v>
      </c>
      <c r="F149" s="117">
        <v>0</v>
      </c>
      <c r="G149" s="118">
        <v>0</v>
      </c>
      <c r="H149" s="118">
        <v>0</v>
      </c>
    </row>
    <row r="150" spans="1:8">
      <c r="A150" s="745" t="s">
        <v>86</v>
      </c>
      <c r="B150" s="746"/>
      <c r="C150" s="746"/>
      <c r="D150" s="80"/>
      <c r="E150" s="77">
        <f t="shared" ref="E150:F150" si="20">SUM(E151:E170)</f>
        <v>0</v>
      </c>
      <c r="F150" s="78">
        <f t="shared" si="20"/>
        <v>0</v>
      </c>
      <c r="G150" s="78">
        <f>SUM(G151:G170)</f>
        <v>0</v>
      </c>
      <c r="H150" s="78">
        <f>SUM(H151:H170)</f>
        <v>0</v>
      </c>
    </row>
    <row r="151" spans="1:8" ht="15.95">
      <c r="A151" s="749" t="s">
        <v>234</v>
      </c>
      <c r="B151" s="750" t="s">
        <v>219</v>
      </c>
      <c r="C151" s="750">
        <v>633013</v>
      </c>
      <c r="D151" s="67" t="s">
        <v>110</v>
      </c>
      <c r="E151" s="64">
        <f t="shared" ref="E151:E170" si="21">SUM(F151:H151)</f>
        <v>0</v>
      </c>
      <c r="F151" s="119">
        <v>0</v>
      </c>
      <c r="G151" s="120">
        <v>0</v>
      </c>
      <c r="H151" s="120">
        <v>0</v>
      </c>
    </row>
    <row r="152" spans="1:8" ht="15.95">
      <c r="A152" s="749"/>
      <c r="B152" s="750"/>
      <c r="C152" s="750"/>
      <c r="D152" s="68" t="s">
        <v>111</v>
      </c>
      <c r="E152" s="65">
        <f t="shared" si="21"/>
        <v>0</v>
      </c>
      <c r="F152" s="121">
        <v>0</v>
      </c>
      <c r="G152" s="122">
        <v>0</v>
      </c>
      <c r="H152" s="122">
        <v>0</v>
      </c>
    </row>
    <row r="153" spans="1:8" ht="15.95">
      <c r="A153" s="749"/>
      <c r="B153" s="750"/>
      <c r="C153" s="750"/>
      <c r="D153" s="68" t="s">
        <v>112</v>
      </c>
      <c r="E153" s="65">
        <f t="shared" si="21"/>
        <v>0</v>
      </c>
      <c r="F153" s="121">
        <v>0</v>
      </c>
      <c r="G153" s="122">
        <v>0</v>
      </c>
      <c r="H153" s="122">
        <v>0</v>
      </c>
    </row>
    <row r="154" spans="1:8" ht="15.95">
      <c r="A154" s="749"/>
      <c r="B154" s="750"/>
      <c r="C154" s="750"/>
      <c r="D154" s="68" t="s">
        <v>113</v>
      </c>
      <c r="E154" s="65">
        <f t="shared" si="21"/>
        <v>0</v>
      </c>
      <c r="F154" s="121">
        <v>0</v>
      </c>
      <c r="G154" s="122">
        <v>0</v>
      </c>
      <c r="H154" s="122">
        <v>0</v>
      </c>
    </row>
    <row r="155" spans="1:8" ht="15.95">
      <c r="A155" s="749"/>
      <c r="B155" s="750"/>
      <c r="C155" s="750"/>
      <c r="D155" s="68" t="s">
        <v>114</v>
      </c>
      <c r="E155" s="65">
        <f t="shared" si="21"/>
        <v>0</v>
      </c>
      <c r="F155" s="121">
        <v>0</v>
      </c>
      <c r="G155" s="122">
        <v>0</v>
      </c>
      <c r="H155" s="122">
        <v>0</v>
      </c>
    </row>
    <row r="156" spans="1:8" ht="15.95">
      <c r="A156" s="749"/>
      <c r="B156" s="750"/>
      <c r="C156" s="750"/>
      <c r="D156" s="68" t="s">
        <v>115</v>
      </c>
      <c r="E156" s="65">
        <f t="shared" si="21"/>
        <v>0</v>
      </c>
      <c r="F156" s="121">
        <v>0</v>
      </c>
      <c r="G156" s="122">
        <v>0</v>
      </c>
      <c r="H156" s="122">
        <v>0</v>
      </c>
    </row>
    <row r="157" spans="1:8" ht="15.95">
      <c r="A157" s="749"/>
      <c r="B157" s="750"/>
      <c r="C157" s="750"/>
      <c r="D157" s="68" t="s">
        <v>116</v>
      </c>
      <c r="E157" s="65">
        <f t="shared" si="21"/>
        <v>0</v>
      </c>
      <c r="F157" s="121">
        <v>0</v>
      </c>
      <c r="G157" s="122">
        <v>0</v>
      </c>
      <c r="H157" s="122">
        <v>0</v>
      </c>
    </row>
    <row r="158" spans="1:8" ht="15.95">
      <c r="A158" s="749"/>
      <c r="B158" s="750"/>
      <c r="C158" s="750"/>
      <c r="D158" s="68" t="s">
        <v>117</v>
      </c>
      <c r="E158" s="65">
        <f t="shared" si="21"/>
        <v>0</v>
      </c>
      <c r="F158" s="121">
        <v>0</v>
      </c>
      <c r="G158" s="122">
        <v>0</v>
      </c>
      <c r="H158" s="122">
        <v>0</v>
      </c>
    </row>
    <row r="159" spans="1:8" ht="15.95">
      <c r="A159" s="749"/>
      <c r="B159" s="750"/>
      <c r="C159" s="750"/>
      <c r="D159" s="68" t="s">
        <v>118</v>
      </c>
      <c r="E159" s="65">
        <f t="shared" si="21"/>
        <v>0</v>
      </c>
      <c r="F159" s="121">
        <v>0</v>
      </c>
      <c r="G159" s="122">
        <v>0</v>
      </c>
      <c r="H159" s="122">
        <v>0</v>
      </c>
    </row>
    <row r="160" spans="1:8" ht="15.95">
      <c r="A160" s="749"/>
      <c r="B160" s="750"/>
      <c r="C160" s="750"/>
      <c r="D160" s="69" t="s">
        <v>119</v>
      </c>
      <c r="E160" s="66">
        <f t="shared" si="21"/>
        <v>0</v>
      </c>
      <c r="F160" s="123">
        <v>0</v>
      </c>
      <c r="G160" s="124">
        <v>0</v>
      </c>
      <c r="H160" s="124">
        <v>0</v>
      </c>
    </row>
    <row r="161" spans="1:8" ht="15.95">
      <c r="A161" s="749" t="s">
        <v>235</v>
      </c>
      <c r="B161" s="750"/>
      <c r="C161" s="750">
        <v>637031</v>
      </c>
      <c r="D161" s="67" t="s">
        <v>110</v>
      </c>
      <c r="E161" s="65">
        <f t="shared" si="21"/>
        <v>0</v>
      </c>
      <c r="F161" s="119">
        <v>0</v>
      </c>
      <c r="G161" s="120">
        <v>0</v>
      </c>
      <c r="H161" s="120">
        <v>0</v>
      </c>
    </row>
    <row r="162" spans="1:8" ht="15.95">
      <c r="A162" s="749"/>
      <c r="B162" s="750"/>
      <c r="C162" s="750"/>
      <c r="D162" s="68" t="s">
        <v>111</v>
      </c>
      <c r="E162" s="65">
        <f t="shared" si="21"/>
        <v>0</v>
      </c>
      <c r="F162" s="121">
        <v>0</v>
      </c>
      <c r="G162" s="122">
        <v>0</v>
      </c>
      <c r="H162" s="122">
        <v>0</v>
      </c>
    </row>
    <row r="163" spans="1:8" ht="15.95">
      <c r="A163" s="749"/>
      <c r="B163" s="750"/>
      <c r="C163" s="750"/>
      <c r="D163" s="68" t="s">
        <v>112</v>
      </c>
      <c r="E163" s="65">
        <f t="shared" si="21"/>
        <v>0</v>
      </c>
      <c r="F163" s="121">
        <v>0</v>
      </c>
      <c r="G163" s="122">
        <v>0</v>
      </c>
      <c r="H163" s="122">
        <v>0</v>
      </c>
    </row>
    <row r="164" spans="1:8" ht="15.95">
      <c r="A164" s="749"/>
      <c r="B164" s="750"/>
      <c r="C164" s="750"/>
      <c r="D164" s="68" t="s">
        <v>113</v>
      </c>
      <c r="E164" s="65">
        <f t="shared" si="21"/>
        <v>0</v>
      </c>
      <c r="F164" s="121">
        <v>0</v>
      </c>
      <c r="G164" s="122">
        <v>0</v>
      </c>
      <c r="H164" s="122">
        <v>0</v>
      </c>
    </row>
    <row r="165" spans="1:8" ht="15.95">
      <c r="A165" s="749"/>
      <c r="B165" s="750"/>
      <c r="C165" s="750"/>
      <c r="D165" s="68" t="s">
        <v>114</v>
      </c>
      <c r="E165" s="65">
        <f t="shared" si="21"/>
        <v>0</v>
      </c>
      <c r="F165" s="121">
        <v>0</v>
      </c>
      <c r="G165" s="122">
        <v>0</v>
      </c>
      <c r="H165" s="122">
        <v>0</v>
      </c>
    </row>
    <row r="166" spans="1:8" ht="15.95">
      <c r="A166" s="749"/>
      <c r="B166" s="750"/>
      <c r="C166" s="750"/>
      <c r="D166" s="68" t="s">
        <v>115</v>
      </c>
      <c r="E166" s="65">
        <f t="shared" si="21"/>
        <v>0</v>
      </c>
      <c r="F166" s="121">
        <v>0</v>
      </c>
      <c r="G166" s="122">
        <v>0</v>
      </c>
      <c r="H166" s="122">
        <v>0</v>
      </c>
    </row>
    <row r="167" spans="1:8" ht="15.95">
      <c r="A167" s="749"/>
      <c r="B167" s="750"/>
      <c r="C167" s="750"/>
      <c r="D167" s="68" t="s">
        <v>116</v>
      </c>
      <c r="E167" s="65">
        <f t="shared" si="21"/>
        <v>0</v>
      </c>
      <c r="F167" s="121">
        <v>0</v>
      </c>
      <c r="G167" s="122">
        <v>0</v>
      </c>
      <c r="H167" s="122">
        <v>0</v>
      </c>
    </row>
    <row r="168" spans="1:8" ht="15.95">
      <c r="A168" s="749"/>
      <c r="B168" s="750"/>
      <c r="C168" s="750"/>
      <c r="D168" s="68" t="s">
        <v>117</v>
      </c>
      <c r="E168" s="65">
        <f t="shared" si="21"/>
        <v>0</v>
      </c>
      <c r="F168" s="121">
        <v>0</v>
      </c>
      <c r="G168" s="122">
        <v>0</v>
      </c>
      <c r="H168" s="122">
        <v>0</v>
      </c>
    </row>
    <row r="169" spans="1:8" ht="15.95">
      <c r="A169" s="749"/>
      <c r="B169" s="750"/>
      <c r="C169" s="750"/>
      <c r="D169" s="68" t="s">
        <v>118</v>
      </c>
      <c r="E169" s="65">
        <f t="shared" si="21"/>
        <v>0</v>
      </c>
      <c r="F169" s="121">
        <v>0</v>
      </c>
      <c r="G169" s="122">
        <v>0</v>
      </c>
      <c r="H169" s="122">
        <v>0</v>
      </c>
    </row>
    <row r="170" spans="1:8" ht="15.95">
      <c r="A170" s="749"/>
      <c r="B170" s="750"/>
      <c r="C170" s="750"/>
      <c r="D170" s="69" t="s">
        <v>119</v>
      </c>
      <c r="E170" s="66">
        <f t="shared" si="21"/>
        <v>0</v>
      </c>
      <c r="F170" s="123">
        <v>0</v>
      </c>
      <c r="G170" s="124">
        <v>0</v>
      </c>
      <c r="H170" s="124">
        <v>0</v>
      </c>
    </row>
  </sheetData>
  <mergeCells count="52">
    <mergeCell ref="A130:A139"/>
    <mergeCell ref="B130:B139"/>
    <mergeCell ref="C130:C139"/>
    <mergeCell ref="A140:A149"/>
    <mergeCell ref="B140:B149"/>
    <mergeCell ref="C140:C149"/>
    <mergeCell ref="A119:A128"/>
    <mergeCell ref="B119:B128"/>
    <mergeCell ref="C119:C128"/>
    <mergeCell ref="A1:D1"/>
    <mergeCell ref="A99:A108"/>
    <mergeCell ref="B99:B108"/>
    <mergeCell ref="C99:C108"/>
    <mergeCell ref="A109:A118"/>
    <mergeCell ref="B109:B118"/>
    <mergeCell ref="C109:C118"/>
    <mergeCell ref="A79:A88"/>
    <mergeCell ref="B79:B88"/>
    <mergeCell ref="C79:C88"/>
    <mergeCell ref="A89:A98"/>
    <mergeCell ref="B89:B98"/>
    <mergeCell ref="C89:C98"/>
    <mergeCell ref="A56:C56"/>
    <mergeCell ref="A58:A67"/>
    <mergeCell ref="B58:B67"/>
    <mergeCell ref="C58:C67"/>
    <mergeCell ref="A68:A77"/>
    <mergeCell ref="B68:B77"/>
    <mergeCell ref="C68:C77"/>
    <mergeCell ref="A36:A45"/>
    <mergeCell ref="B36:B45"/>
    <mergeCell ref="C36:C45"/>
    <mergeCell ref="A3:C3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C5:C14"/>
    <mergeCell ref="A5:A14"/>
    <mergeCell ref="B5:B14"/>
    <mergeCell ref="A150:C150"/>
    <mergeCell ref="A151:A160"/>
    <mergeCell ref="B151:B160"/>
    <mergeCell ref="C151:C160"/>
    <mergeCell ref="A161:A170"/>
    <mergeCell ref="B161:B170"/>
    <mergeCell ref="C161:C170"/>
  </mergeCells>
  <pageMargins left="0.7" right="0.7" top="0.75" bottom="0.75" header="0.3" footer="0.3"/>
  <pageSetup paperSize="9" scale="29" orientation="portrait" r:id="rId1"/>
  <ignoredErrors>
    <ignoredError sqref="E25 E78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B5FB-305B-BF4F-8DD1-220E890B61F4}">
  <sheetPr>
    <tabColor rgb="FFFFFFCC"/>
  </sheetPr>
  <dimension ref="A1:AJ60"/>
  <sheetViews>
    <sheetView workbookViewId="0" xr3:uid="{16531481-DD3C-5C68-A1E5-6CF222484292}">
      <selection activeCell="H4" sqref="H4:H5"/>
    </sheetView>
  </sheetViews>
  <sheetFormatPr defaultColWidth="11.42578125" defaultRowHeight="15"/>
  <cols>
    <col min="2" max="2" width="17" customWidth="1"/>
    <col min="3" max="3" width="19.85546875" customWidth="1"/>
    <col min="4" max="4" width="14.85546875" customWidth="1"/>
    <col min="5" max="5" width="18.42578125" customWidth="1"/>
    <col min="6" max="6" width="13.140625" bestFit="1" customWidth="1"/>
    <col min="7" max="7" width="16.140625" bestFit="1" customWidth="1"/>
    <col min="8" max="8" width="12.42578125" bestFit="1" customWidth="1"/>
    <col min="36" max="36" width="12.42578125" bestFit="1" customWidth="1"/>
  </cols>
  <sheetData>
    <row r="1" spans="1:36" ht="15.95">
      <c r="A1" s="602" t="s">
        <v>236</v>
      </c>
      <c r="B1" s="603" t="s">
        <v>237</v>
      </c>
      <c r="C1" s="603" t="s">
        <v>238</v>
      </c>
      <c r="D1" s="754" t="s">
        <v>239</v>
      </c>
      <c r="E1" s="755"/>
      <c r="F1" s="756"/>
      <c r="G1" s="603" t="s">
        <v>240</v>
      </c>
      <c r="H1" s="757" t="s">
        <v>241</v>
      </c>
    </row>
    <row r="2" spans="1:36" ht="15.95">
      <c r="A2" s="604"/>
      <c r="B2" s="605"/>
      <c r="C2" s="605"/>
      <c r="D2" s="606" t="s">
        <v>242</v>
      </c>
      <c r="E2" s="607" t="s">
        <v>243</v>
      </c>
      <c r="F2" s="608" t="s">
        <v>244</v>
      </c>
      <c r="G2" s="605"/>
      <c r="H2" s="758"/>
    </row>
    <row r="3" spans="1:36" ht="15.95" thickBot="1">
      <c r="A3" s="609" t="s">
        <v>245</v>
      </c>
      <c r="B3" s="610">
        <v>0</v>
      </c>
      <c r="C3" s="610">
        <v>414715</v>
      </c>
      <c r="D3" s="610">
        <v>0</v>
      </c>
      <c r="E3" s="610">
        <v>0</v>
      </c>
      <c r="F3" s="610">
        <v>0</v>
      </c>
      <c r="G3" s="610">
        <v>1100000</v>
      </c>
      <c r="H3" s="611">
        <f>AVERAGE(B3,C3,F3,G3)</f>
        <v>378678.75</v>
      </c>
    </row>
    <row r="4" spans="1:36" ht="45.95">
      <c r="A4" s="612" t="s">
        <v>246</v>
      </c>
      <c r="B4" s="613">
        <f>11000*16</f>
        <v>176000</v>
      </c>
      <c r="C4" s="613">
        <v>0</v>
      </c>
      <c r="D4" s="613">
        <v>10560</v>
      </c>
      <c r="E4" s="613">
        <v>15840</v>
      </c>
      <c r="F4" s="613">
        <f>E4*2</f>
        <v>31680</v>
      </c>
      <c r="G4" s="613">
        <v>0</v>
      </c>
      <c r="H4" s="759">
        <f>AVERAGE(B4,C5,F4,G5)</f>
        <v>134625</v>
      </c>
    </row>
    <row r="5" spans="1:36" ht="15.95" thickBot="1">
      <c r="A5" s="614" t="s">
        <v>247</v>
      </c>
      <c r="B5" s="615">
        <v>0</v>
      </c>
      <c r="C5" s="615">
        <v>110820</v>
      </c>
      <c r="D5" s="615">
        <v>0</v>
      </c>
      <c r="E5" s="615">
        <v>0</v>
      </c>
      <c r="F5" s="615">
        <v>0</v>
      </c>
      <c r="G5" s="615">
        <v>220000</v>
      </c>
      <c r="H5" s="760"/>
    </row>
    <row r="6" spans="1:36">
      <c r="A6" s="616" t="s">
        <v>248</v>
      </c>
      <c r="B6" s="617" t="s">
        <v>249</v>
      </c>
      <c r="C6" s="618" t="s">
        <v>249</v>
      </c>
      <c r="D6" s="619" t="s">
        <v>249</v>
      </c>
      <c r="E6" s="619" t="s">
        <v>249</v>
      </c>
      <c r="F6" s="619" t="s">
        <v>249</v>
      </c>
      <c r="G6" s="618" t="s">
        <v>249</v>
      </c>
      <c r="H6" s="620" t="s">
        <v>79</v>
      </c>
      <c r="AJ6" s="630">
        <f>'BPM evaluation'!H3</f>
        <v>378678.75</v>
      </c>
    </row>
    <row r="7" spans="1:36">
      <c r="A7" s="621" t="s">
        <v>250</v>
      </c>
      <c r="B7" s="622" t="s">
        <v>249</v>
      </c>
      <c r="C7" s="623" t="s">
        <v>251</v>
      </c>
      <c r="D7" s="623" t="s">
        <v>249</v>
      </c>
      <c r="E7" s="623" t="s">
        <v>249</v>
      </c>
      <c r="F7" s="623" t="s">
        <v>249</v>
      </c>
      <c r="G7" s="623" t="s">
        <v>251</v>
      </c>
      <c r="H7" s="620" t="s">
        <v>79</v>
      </c>
    </row>
    <row r="8" spans="1:36" ht="15.95" thickBot="1">
      <c r="A8" s="614" t="s">
        <v>252</v>
      </c>
      <c r="B8" s="624"/>
      <c r="C8" s="625"/>
      <c r="D8" s="625" t="s">
        <v>249</v>
      </c>
      <c r="E8" s="625" t="s">
        <v>249</v>
      </c>
      <c r="F8" s="625" t="s">
        <v>249</v>
      </c>
      <c r="G8" s="625"/>
      <c r="H8" s="626" t="s">
        <v>79</v>
      </c>
    </row>
    <row r="60" spans="8:8">
      <c r="H60" s="630">
        <f>'BPM evaluation'!H4</f>
        <v>134625</v>
      </c>
    </row>
  </sheetData>
  <mergeCells count="3">
    <mergeCell ref="D1:F1"/>
    <mergeCell ref="H1:H2"/>
    <mergeCell ref="H4:H5"/>
  </mergeCells>
  <hyperlinks>
    <hyperlink ref="D1:F1" r:id="rId1" display="Red Hat Jboss BPM" xr:uid="{A1C34DF8-52D3-1145-A3CC-49D0F67BE5A9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  <outlinePr summaryBelow="0" summaryRight="0"/>
  </sheetPr>
  <dimension ref="A1:H53"/>
  <sheetViews>
    <sheetView view="pageBreakPreview" zoomScale="106" zoomScaleNormal="85" zoomScaleSheetLayoutView="106" workbookViewId="0" xr3:uid="{65FA3815-DCC1-5481-872F-D2879ED395ED}">
      <selection activeCell="G4" sqref="G4"/>
    </sheetView>
  </sheetViews>
  <sheetFormatPr defaultColWidth="8.85546875" defaultRowHeight="15" outlineLevelRow="1"/>
  <cols>
    <col min="1" max="1" width="22.42578125" customWidth="1"/>
    <col min="2" max="2" width="23.28515625" customWidth="1"/>
    <col min="3" max="3" width="22.42578125" customWidth="1"/>
    <col min="5" max="5" width="17.85546875" customWidth="1"/>
    <col min="6" max="6" width="17.42578125" customWidth="1"/>
    <col min="7" max="7" width="17.7109375" customWidth="1"/>
  </cols>
  <sheetData>
    <row r="1" spans="1:8" ht="56.25" customHeight="1" thickBot="1">
      <c r="A1" s="747" t="s">
        <v>253</v>
      </c>
      <c r="B1" s="747"/>
      <c r="C1" s="747"/>
      <c r="D1" s="748"/>
      <c r="E1" s="70" t="s">
        <v>120</v>
      </c>
      <c r="F1" s="286" t="s">
        <v>206</v>
      </c>
      <c r="G1" s="286" t="s">
        <v>207</v>
      </c>
    </row>
    <row r="2" spans="1:8" ht="15.95" thickBot="1">
      <c r="A2" s="40" t="s">
        <v>208</v>
      </c>
      <c r="B2" s="75" t="s">
        <v>209</v>
      </c>
      <c r="C2" s="75" t="s">
        <v>210</v>
      </c>
      <c r="D2" s="75" t="s">
        <v>106</v>
      </c>
      <c r="E2" s="17"/>
      <c r="F2" s="17"/>
      <c r="G2" s="17"/>
    </row>
    <row r="3" spans="1:8" ht="15.95" thickBot="1">
      <c r="A3" s="761" t="s">
        <v>254</v>
      </c>
      <c r="B3" s="761"/>
      <c r="C3" s="761"/>
      <c r="D3" s="76"/>
      <c r="E3" s="77">
        <f>SUM(E4:E53)</f>
        <v>3072790</v>
      </c>
      <c r="F3" s="576"/>
      <c r="G3" s="576"/>
      <c r="H3" s="577"/>
    </row>
    <row r="4" spans="1:8" ht="15.95" outlineLevel="1">
      <c r="A4" s="749" t="s">
        <v>255</v>
      </c>
      <c r="B4" s="750" t="s">
        <v>214</v>
      </c>
      <c r="C4" s="750">
        <v>635002</v>
      </c>
      <c r="D4" s="67" t="s">
        <v>110</v>
      </c>
      <c r="E4" s="72">
        <f>F4+G4</f>
        <v>234922</v>
      </c>
      <c r="F4" s="121">
        <v>50592</v>
      </c>
      <c r="G4" s="121">
        <v>184330</v>
      </c>
    </row>
    <row r="5" spans="1:8" ht="15.95" outlineLevel="1">
      <c r="A5" s="749"/>
      <c r="B5" s="750"/>
      <c r="C5" s="750"/>
      <c r="D5" s="68" t="s">
        <v>111</v>
      </c>
      <c r="E5" s="72">
        <f t="shared" ref="E5:E12" si="0">F5+G5</f>
        <v>234922</v>
      </c>
      <c r="F5" s="121">
        <v>50592</v>
      </c>
      <c r="G5" s="121">
        <v>184330</v>
      </c>
    </row>
    <row r="6" spans="1:8" ht="15.95" outlineLevel="1">
      <c r="A6" s="749"/>
      <c r="B6" s="750"/>
      <c r="C6" s="750"/>
      <c r="D6" s="68" t="s">
        <v>112</v>
      </c>
      <c r="E6" s="72">
        <f t="shared" si="0"/>
        <v>234922</v>
      </c>
      <c r="F6" s="121">
        <v>50592</v>
      </c>
      <c r="G6" s="121">
        <v>184330</v>
      </c>
    </row>
    <row r="7" spans="1:8" ht="15.95" outlineLevel="1">
      <c r="A7" s="749"/>
      <c r="B7" s="750"/>
      <c r="C7" s="750"/>
      <c r="D7" s="68" t="s">
        <v>113</v>
      </c>
      <c r="E7" s="72">
        <f t="shared" si="0"/>
        <v>234922</v>
      </c>
      <c r="F7" s="121">
        <v>50592</v>
      </c>
      <c r="G7" s="121">
        <v>184330</v>
      </c>
    </row>
    <row r="8" spans="1:8" ht="15.95" outlineLevel="1">
      <c r="A8" s="749"/>
      <c r="B8" s="750"/>
      <c r="C8" s="750"/>
      <c r="D8" s="68" t="s">
        <v>114</v>
      </c>
      <c r="E8" s="72">
        <f t="shared" si="0"/>
        <v>234922</v>
      </c>
      <c r="F8" s="121">
        <v>50592</v>
      </c>
      <c r="G8" s="121">
        <v>184330</v>
      </c>
    </row>
    <row r="9" spans="1:8" ht="15.95" outlineLevel="1">
      <c r="A9" s="749"/>
      <c r="B9" s="750"/>
      <c r="C9" s="750"/>
      <c r="D9" s="68" t="s">
        <v>115</v>
      </c>
      <c r="E9" s="72">
        <f t="shared" si="0"/>
        <v>234922</v>
      </c>
      <c r="F9" s="121">
        <v>50592</v>
      </c>
      <c r="G9" s="121">
        <v>184330</v>
      </c>
    </row>
    <row r="10" spans="1:8" ht="15.95" outlineLevel="1">
      <c r="A10" s="749"/>
      <c r="B10" s="750"/>
      <c r="C10" s="750"/>
      <c r="D10" s="68" t="s">
        <v>116</v>
      </c>
      <c r="E10" s="72">
        <f t="shared" si="0"/>
        <v>234922</v>
      </c>
      <c r="F10" s="121">
        <v>50592</v>
      </c>
      <c r="G10" s="121">
        <v>184330</v>
      </c>
    </row>
    <row r="11" spans="1:8" ht="15.95" outlineLevel="1">
      <c r="A11" s="749"/>
      <c r="B11" s="750"/>
      <c r="C11" s="750"/>
      <c r="D11" s="68" t="s">
        <v>117</v>
      </c>
      <c r="E11" s="72">
        <f t="shared" si="0"/>
        <v>234922</v>
      </c>
      <c r="F11" s="121">
        <v>50592</v>
      </c>
      <c r="G11" s="121">
        <v>184330</v>
      </c>
    </row>
    <row r="12" spans="1:8" ht="15.95" outlineLevel="1">
      <c r="A12" s="749"/>
      <c r="B12" s="750"/>
      <c r="C12" s="750"/>
      <c r="D12" s="68" t="s">
        <v>118</v>
      </c>
      <c r="E12" s="72">
        <f t="shared" si="0"/>
        <v>234922</v>
      </c>
      <c r="F12" s="121">
        <v>50592</v>
      </c>
      <c r="G12" s="121">
        <v>184330</v>
      </c>
    </row>
    <row r="13" spans="1:8" ht="15.95" outlineLevel="1">
      <c r="A13" s="749"/>
      <c r="B13" s="750"/>
      <c r="C13" s="750"/>
      <c r="D13" s="69" t="s">
        <v>119</v>
      </c>
      <c r="E13" s="73">
        <f>F13+G13</f>
        <v>234922</v>
      </c>
      <c r="F13" s="123">
        <v>50592</v>
      </c>
      <c r="G13" s="123">
        <v>184330</v>
      </c>
    </row>
    <row r="14" spans="1:8" ht="15.95" outlineLevel="1">
      <c r="A14" s="749" t="s">
        <v>256</v>
      </c>
      <c r="B14" s="749" t="s">
        <v>257</v>
      </c>
      <c r="C14" s="750">
        <v>718002</v>
      </c>
      <c r="D14" s="67" t="s">
        <v>110</v>
      </c>
      <c r="E14" s="72">
        <f>F14+G14</f>
        <v>0</v>
      </c>
      <c r="F14" s="575">
        <v>0</v>
      </c>
      <c r="G14" s="575">
        <v>0</v>
      </c>
    </row>
    <row r="15" spans="1:8" ht="15.95" outlineLevel="1">
      <c r="A15" s="749"/>
      <c r="B15" s="750"/>
      <c r="C15" s="750"/>
      <c r="D15" s="68" t="s">
        <v>111</v>
      </c>
      <c r="E15" s="72">
        <f>F15+G15</f>
        <v>0</v>
      </c>
      <c r="F15" s="121">
        <v>0</v>
      </c>
      <c r="G15" s="121">
        <v>0</v>
      </c>
    </row>
    <row r="16" spans="1:8" ht="15.95" outlineLevel="1">
      <c r="A16" s="749"/>
      <c r="B16" s="750"/>
      <c r="C16" s="750"/>
      <c r="D16" s="68" t="s">
        <v>112</v>
      </c>
      <c r="E16" s="72">
        <f t="shared" ref="E16:E22" si="1">F16+G16</f>
        <v>0</v>
      </c>
      <c r="F16" s="121">
        <v>0</v>
      </c>
      <c r="G16" s="121">
        <v>0</v>
      </c>
    </row>
    <row r="17" spans="1:7" ht="15.95" outlineLevel="1">
      <c r="A17" s="749"/>
      <c r="B17" s="750"/>
      <c r="C17" s="750"/>
      <c r="D17" s="68" t="s">
        <v>113</v>
      </c>
      <c r="E17" s="72">
        <f t="shared" si="1"/>
        <v>0</v>
      </c>
      <c r="F17" s="121">
        <v>0</v>
      </c>
      <c r="G17" s="121">
        <v>0</v>
      </c>
    </row>
    <row r="18" spans="1:7" ht="15.95" outlineLevel="1">
      <c r="A18" s="749"/>
      <c r="B18" s="750"/>
      <c r="C18" s="750"/>
      <c r="D18" s="68" t="s">
        <v>114</v>
      </c>
      <c r="E18" s="72">
        <f t="shared" si="1"/>
        <v>0</v>
      </c>
      <c r="F18" s="121">
        <v>0</v>
      </c>
      <c r="G18" s="121">
        <v>0</v>
      </c>
    </row>
    <row r="19" spans="1:7" ht="15.95" outlineLevel="1">
      <c r="A19" s="749"/>
      <c r="B19" s="750"/>
      <c r="C19" s="750"/>
      <c r="D19" s="68" t="s">
        <v>115</v>
      </c>
      <c r="E19" s="72">
        <f t="shared" si="1"/>
        <v>0</v>
      </c>
      <c r="F19" s="121">
        <v>0</v>
      </c>
      <c r="G19" s="121">
        <v>0</v>
      </c>
    </row>
    <row r="20" spans="1:7" ht="15.95" outlineLevel="1">
      <c r="A20" s="749"/>
      <c r="B20" s="750"/>
      <c r="C20" s="750"/>
      <c r="D20" s="68" t="s">
        <v>116</v>
      </c>
      <c r="E20" s="72">
        <f t="shared" si="1"/>
        <v>0</v>
      </c>
      <c r="F20" s="121">
        <v>0</v>
      </c>
      <c r="G20" s="121">
        <v>0</v>
      </c>
    </row>
    <row r="21" spans="1:7" ht="15.95" outlineLevel="1">
      <c r="A21" s="749"/>
      <c r="B21" s="750"/>
      <c r="C21" s="750"/>
      <c r="D21" s="68" t="s">
        <v>117</v>
      </c>
      <c r="E21" s="72">
        <f t="shared" si="1"/>
        <v>0</v>
      </c>
      <c r="F21" s="121">
        <v>0</v>
      </c>
      <c r="G21" s="121">
        <v>0</v>
      </c>
    </row>
    <row r="22" spans="1:7" ht="15.95" outlineLevel="1">
      <c r="A22" s="749"/>
      <c r="B22" s="750"/>
      <c r="C22" s="750"/>
      <c r="D22" s="68" t="s">
        <v>118</v>
      </c>
      <c r="E22" s="72">
        <f t="shared" si="1"/>
        <v>0</v>
      </c>
      <c r="F22" s="121">
        <v>0</v>
      </c>
      <c r="G22" s="121">
        <v>0</v>
      </c>
    </row>
    <row r="23" spans="1:7" ht="17.100000000000001" outlineLevel="1" thickBot="1">
      <c r="A23" s="749"/>
      <c r="B23" s="750"/>
      <c r="C23" s="750"/>
      <c r="D23" s="69" t="s">
        <v>119</v>
      </c>
      <c r="E23" s="73">
        <f>F23+G23</f>
        <v>0</v>
      </c>
      <c r="F23" s="123">
        <v>0</v>
      </c>
      <c r="G23" s="123">
        <v>0</v>
      </c>
    </row>
    <row r="24" spans="1:7" ht="15.95" outlineLevel="1">
      <c r="A24" s="749" t="s">
        <v>258</v>
      </c>
      <c r="B24" s="750"/>
      <c r="C24" s="750"/>
      <c r="D24" s="67" t="s">
        <v>110</v>
      </c>
      <c r="E24" s="72">
        <v>67084</v>
      </c>
      <c r="F24" s="575"/>
      <c r="G24" s="575"/>
    </row>
    <row r="25" spans="1:7" ht="15.95" outlineLevel="1">
      <c r="A25" s="749"/>
      <c r="B25" s="750"/>
      <c r="C25" s="750"/>
      <c r="D25" s="68" t="s">
        <v>111</v>
      </c>
      <c r="E25" s="72">
        <v>67084</v>
      </c>
      <c r="F25" s="121"/>
      <c r="G25" s="121"/>
    </row>
    <row r="26" spans="1:7" ht="15.95" outlineLevel="1">
      <c r="A26" s="749"/>
      <c r="B26" s="750"/>
      <c r="C26" s="750"/>
      <c r="D26" s="68" t="s">
        <v>112</v>
      </c>
      <c r="E26" s="72">
        <v>67084</v>
      </c>
      <c r="F26" s="121"/>
      <c r="G26" s="121"/>
    </row>
    <row r="27" spans="1:7" ht="15.95" outlineLevel="1">
      <c r="A27" s="749"/>
      <c r="B27" s="750"/>
      <c r="C27" s="750"/>
      <c r="D27" s="68" t="s">
        <v>113</v>
      </c>
      <c r="E27" s="72">
        <v>67084</v>
      </c>
      <c r="F27" s="121"/>
      <c r="G27" s="121"/>
    </row>
    <row r="28" spans="1:7" ht="15.95" outlineLevel="1">
      <c r="A28" s="749"/>
      <c r="B28" s="750"/>
      <c r="C28" s="750"/>
      <c r="D28" s="68" t="s">
        <v>114</v>
      </c>
      <c r="E28" s="72">
        <v>67084</v>
      </c>
      <c r="F28" s="121"/>
      <c r="G28" s="121"/>
    </row>
    <row r="29" spans="1:7" ht="15.95" outlineLevel="1">
      <c r="A29" s="749"/>
      <c r="B29" s="750"/>
      <c r="C29" s="750"/>
      <c r="D29" s="68" t="s">
        <v>115</v>
      </c>
      <c r="E29" s="72">
        <v>67084</v>
      </c>
      <c r="F29" s="121"/>
      <c r="G29" s="121"/>
    </row>
    <row r="30" spans="1:7" ht="15.95" outlineLevel="1">
      <c r="A30" s="749"/>
      <c r="B30" s="750"/>
      <c r="C30" s="750"/>
      <c r="D30" s="68" t="s">
        <v>116</v>
      </c>
      <c r="E30" s="72">
        <v>67084</v>
      </c>
      <c r="F30" s="121"/>
      <c r="G30" s="121"/>
    </row>
    <row r="31" spans="1:7" ht="15.95" outlineLevel="1">
      <c r="A31" s="749"/>
      <c r="B31" s="750"/>
      <c r="C31" s="750"/>
      <c r="D31" s="68" t="s">
        <v>117</v>
      </c>
      <c r="E31" s="72">
        <v>67084</v>
      </c>
      <c r="F31" s="121"/>
      <c r="G31" s="121"/>
    </row>
    <row r="32" spans="1:7" ht="15.95" outlineLevel="1">
      <c r="A32" s="749"/>
      <c r="B32" s="750"/>
      <c r="C32" s="750"/>
      <c r="D32" s="68" t="s">
        <v>118</v>
      </c>
      <c r="E32" s="72">
        <v>67084</v>
      </c>
      <c r="F32" s="121"/>
      <c r="G32" s="121"/>
    </row>
    <row r="33" spans="1:7" ht="17.100000000000001" outlineLevel="1" thickBot="1">
      <c r="A33" s="749"/>
      <c r="B33" s="750"/>
      <c r="C33" s="750"/>
      <c r="D33" s="69" t="s">
        <v>119</v>
      </c>
      <c r="E33" s="73">
        <v>67084</v>
      </c>
      <c r="F33" s="123"/>
      <c r="G33" s="123"/>
    </row>
    <row r="34" spans="1:7" ht="15.95" outlineLevel="1">
      <c r="A34" s="751" t="s">
        <v>259</v>
      </c>
      <c r="B34" s="750"/>
      <c r="C34" s="750"/>
      <c r="D34" s="67" t="s">
        <v>110</v>
      </c>
      <c r="E34" s="72">
        <f>F34+G34</f>
        <v>5273</v>
      </c>
      <c r="F34" s="575">
        <v>5273</v>
      </c>
      <c r="G34" s="575"/>
    </row>
    <row r="35" spans="1:7" ht="15.95" outlineLevel="1">
      <c r="A35" s="751"/>
      <c r="B35" s="750"/>
      <c r="C35" s="750"/>
      <c r="D35" s="68" t="s">
        <v>111</v>
      </c>
      <c r="E35" s="72">
        <f>F35+G35</f>
        <v>5273</v>
      </c>
      <c r="F35" s="121">
        <v>5273</v>
      </c>
      <c r="G35" s="121"/>
    </row>
    <row r="36" spans="1:7" ht="15.95" outlineLevel="1">
      <c r="A36" s="751"/>
      <c r="B36" s="750"/>
      <c r="C36" s="750"/>
      <c r="D36" s="68" t="s">
        <v>112</v>
      </c>
      <c r="E36" s="72">
        <f t="shared" ref="E36:E42" si="2">F36+G36</f>
        <v>5273</v>
      </c>
      <c r="F36" s="121">
        <v>5273</v>
      </c>
      <c r="G36" s="121"/>
    </row>
    <row r="37" spans="1:7" ht="15.95" outlineLevel="1">
      <c r="A37" s="751"/>
      <c r="B37" s="750"/>
      <c r="C37" s="750"/>
      <c r="D37" s="68" t="s">
        <v>113</v>
      </c>
      <c r="E37" s="72">
        <f t="shared" si="2"/>
        <v>5273</v>
      </c>
      <c r="F37" s="121">
        <v>5273</v>
      </c>
      <c r="G37" s="121"/>
    </row>
    <row r="38" spans="1:7" ht="15.95" outlineLevel="1">
      <c r="A38" s="751"/>
      <c r="B38" s="750"/>
      <c r="C38" s="750"/>
      <c r="D38" s="68" t="s">
        <v>114</v>
      </c>
      <c r="E38" s="72">
        <f t="shared" si="2"/>
        <v>5273</v>
      </c>
      <c r="F38" s="121">
        <v>5273</v>
      </c>
      <c r="G38" s="121"/>
    </row>
    <row r="39" spans="1:7" ht="15.95" outlineLevel="1">
      <c r="A39" s="751"/>
      <c r="B39" s="750"/>
      <c r="C39" s="750"/>
      <c r="D39" s="68" t="s">
        <v>115</v>
      </c>
      <c r="E39" s="72">
        <f t="shared" si="2"/>
        <v>5273</v>
      </c>
      <c r="F39" s="121">
        <v>5273</v>
      </c>
      <c r="G39" s="121"/>
    </row>
    <row r="40" spans="1:7" ht="15.95" outlineLevel="1">
      <c r="A40" s="751"/>
      <c r="B40" s="750"/>
      <c r="C40" s="750"/>
      <c r="D40" s="68" t="s">
        <v>116</v>
      </c>
      <c r="E40" s="72">
        <f t="shared" si="2"/>
        <v>5273</v>
      </c>
      <c r="F40" s="121">
        <v>5273</v>
      </c>
      <c r="G40" s="121"/>
    </row>
    <row r="41" spans="1:7" ht="15.95" outlineLevel="1">
      <c r="A41" s="751"/>
      <c r="B41" s="750"/>
      <c r="C41" s="750"/>
      <c r="D41" s="68" t="s">
        <v>117</v>
      </c>
      <c r="E41" s="72">
        <f t="shared" si="2"/>
        <v>5273</v>
      </c>
      <c r="F41" s="121">
        <v>5273</v>
      </c>
      <c r="G41" s="121"/>
    </row>
    <row r="42" spans="1:7" ht="15.95" outlineLevel="1">
      <c r="A42" s="751"/>
      <c r="B42" s="750"/>
      <c r="C42" s="750"/>
      <c r="D42" s="68" t="s">
        <v>118</v>
      </c>
      <c r="E42" s="72">
        <f t="shared" si="2"/>
        <v>5273</v>
      </c>
      <c r="F42" s="121">
        <v>5273</v>
      </c>
      <c r="G42" s="121"/>
    </row>
    <row r="43" spans="1:7" ht="17.100000000000001" outlineLevel="1" thickBot="1">
      <c r="A43" s="751"/>
      <c r="B43" s="750"/>
      <c r="C43" s="750"/>
      <c r="D43" s="69" t="s">
        <v>119</v>
      </c>
      <c r="E43" s="73">
        <f>F43+G43</f>
        <v>5273</v>
      </c>
      <c r="F43" s="123">
        <v>5273</v>
      </c>
      <c r="G43" s="123"/>
    </row>
    <row r="44" spans="1:7" ht="15.95" outlineLevel="1">
      <c r="A44" s="749" t="s">
        <v>260</v>
      </c>
      <c r="B44" s="750" t="s">
        <v>219</v>
      </c>
      <c r="C44" s="750">
        <v>637001</v>
      </c>
      <c r="D44" s="67" t="s">
        <v>110</v>
      </c>
      <c r="E44" s="72">
        <v>0</v>
      </c>
      <c r="F44" s="575"/>
      <c r="G44" s="575"/>
    </row>
    <row r="45" spans="1:7" ht="15.95" outlineLevel="1">
      <c r="A45" s="749"/>
      <c r="B45" s="750"/>
      <c r="C45" s="750"/>
      <c r="D45" s="68" t="s">
        <v>111</v>
      </c>
      <c r="E45" s="72">
        <v>0</v>
      </c>
      <c r="F45" s="121"/>
      <c r="G45" s="121"/>
    </row>
    <row r="46" spans="1:7" ht="15.95" outlineLevel="1">
      <c r="A46" s="749"/>
      <c r="B46" s="750"/>
      <c r="C46" s="750"/>
      <c r="D46" s="68" t="s">
        <v>112</v>
      </c>
      <c r="E46" s="72">
        <v>0</v>
      </c>
      <c r="F46" s="121"/>
      <c r="G46" s="121"/>
    </row>
    <row r="47" spans="1:7" ht="15.95" outlineLevel="1">
      <c r="A47" s="749"/>
      <c r="B47" s="750"/>
      <c r="C47" s="750"/>
      <c r="D47" s="68" t="s">
        <v>113</v>
      </c>
      <c r="E47" s="72">
        <v>0</v>
      </c>
      <c r="F47" s="121"/>
      <c r="G47" s="121"/>
    </row>
    <row r="48" spans="1:7" ht="15.95" outlineLevel="1">
      <c r="A48" s="749"/>
      <c r="B48" s="750"/>
      <c r="C48" s="750"/>
      <c r="D48" s="68" t="s">
        <v>114</v>
      </c>
      <c r="E48" s="72">
        <v>0</v>
      </c>
      <c r="F48" s="121"/>
      <c r="G48" s="121"/>
    </row>
    <row r="49" spans="1:7" ht="15.95" outlineLevel="1">
      <c r="A49" s="749"/>
      <c r="B49" s="750"/>
      <c r="C49" s="750"/>
      <c r="D49" s="68" t="s">
        <v>115</v>
      </c>
      <c r="E49" s="72">
        <v>0</v>
      </c>
      <c r="F49" s="121"/>
      <c r="G49" s="121"/>
    </row>
    <row r="50" spans="1:7" ht="15.95" outlineLevel="1">
      <c r="A50" s="749"/>
      <c r="B50" s="750"/>
      <c r="C50" s="750"/>
      <c r="D50" s="68" t="s">
        <v>116</v>
      </c>
      <c r="E50" s="72">
        <v>0</v>
      </c>
      <c r="F50" s="121"/>
      <c r="G50" s="121"/>
    </row>
    <row r="51" spans="1:7" ht="15.95" outlineLevel="1">
      <c r="A51" s="749"/>
      <c r="B51" s="750"/>
      <c r="C51" s="750"/>
      <c r="D51" s="68" t="s">
        <v>117</v>
      </c>
      <c r="E51" s="72">
        <v>0</v>
      </c>
      <c r="F51" s="121"/>
      <c r="G51" s="121"/>
    </row>
    <row r="52" spans="1:7" ht="15.95" outlineLevel="1">
      <c r="A52" s="749"/>
      <c r="B52" s="750"/>
      <c r="C52" s="750"/>
      <c r="D52" s="68" t="s">
        <v>118</v>
      </c>
      <c r="E52" s="72">
        <v>0</v>
      </c>
      <c r="F52" s="121"/>
      <c r="G52" s="121"/>
    </row>
    <row r="53" spans="1:7" ht="17.100000000000001" outlineLevel="1" thickBot="1">
      <c r="A53" s="749"/>
      <c r="B53" s="750"/>
      <c r="C53" s="750"/>
      <c r="D53" s="69" t="s">
        <v>119</v>
      </c>
      <c r="E53" s="73">
        <v>0</v>
      </c>
      <c r="F53" s="121"/>
      <c r="G53" s="121"/>
    </row>
  </sheetData>
  <mergeCells count="17">
    <mergeCell ref="A34:A43"/>
    <mergeCell ref="B34:B43"/>
    <mergeCell ref="C34:C43"/>
    <mergeCell ref="A44:A53"/>
    <mergeCell ref="B44:B53"/>
    <mergeCell ref="C44:C53"/>
    <mergeCell ref="A14:A23"/>
    <mergeCell ref="B14:B23"/>
    <mergeCell ref="C14:C23"/>
    <mergeCell ref="A24:A33"/>
    <mergeCell ref="B24:B33"/>
    <mergeCell ref="C24:C33"/>
    <mergeCell ref="A1:D1"/>
    <mergeCell ref="A3:C3"/>
    <mergeCell ref="A4:A13"/>
    <mergeCell ref="B4:B13"/>
    <mergeCell ref="C4:C13"/>
  </mergeCells>
  <pageMargins left="0.7" right="0.7" top="0.75" bottom="0.75" header="0.3" footer="0.3"/>
  <pageSetup paperSize="9" scale="92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CC"/>
    <outlinePr summaryBelow="0" summaryRight="0"/>
  </sheetPr>
  <dimension ref="A1:H84"/>
  <sheetViews>
    <sheetView view="pageBreakPreview" zoomScaleNormal="85" zoomScaleSheetLayoutView="100" workbookViewId="0" xr3:uid="{C67EF94B-0B3B-5838-830C-E3A509766221}">
      <selection activeCell="H4" sqref="H4"/>
    </sheetView>
  </sheetViews>
  <sheetFormatPr defaultColWidth="8.85546875" defaultRowHeight="15" outlineLevelRow="1" outlineLevelCol="1"/>
  <cols>
    <col min="1" max="1" width="22.42578125" customWidth="1"/>
    <col min="2" max="2" width="23.28515625" customWidth="1"/>
    <col min="3" max="3" width="22.42578125" customWidth="1"/>
    <col min="5" max="5" width="17.85546875" customWidth="1"/>
    <col min="6" max="8" width="19.28515625" customWidth="1" outlineLevel="1"/>
  </cols>
  <sheetData>
    <row r="1" spans="1:8" ht="49.5" customHeight="1">
      <c r="A1" s="747" t="s">
        <v>253</v>
      </c>
      <c r="B1" s="747"/>
      <c r="C1" s="747"/>
      <c r="D1" s="748"/>
      <c r="E1" s="70" t="s">
        <v>120</v>
      </c>
      <c r="F1" s="286" t="s">
        <v>206</v>
      </c>
      <c r="G1" s="286" t="s">
        <v>207</v>
      </c>
      <c r="H1" s="286" t="s">
        <v>261</v>
      </c>
    </row>
    <row r="2" spans="1:8">
      <c r="A2" s="40" t="s">
        <v>208</v>
      </c>
      <c r="B2" s="75" t="s">
        <v>209</v>
      </c>
      <c r="C2" s="75" t="s">
        <v>210</v>
      </c>
      <c r="D2" s="75" t="s">
        <v>106</v>
      </c>
      <c r="E2" s="17"/>
      <c r="F2" s="17"/>
      <c r="G2" s="17"/>
      <c r="H2" s="17"/>
    </row>
    <row r="3" spans="1:8">
      <c r="A3" s="762" t="s">
        <v>262</v>
      </c>
      <c r="B3" s="762"/>
      <c r="C3" s="762"/>
      <c r="D3" s="74"/>
      <c r="E3" s="77">
        <f t="shared" ref="E3:H3" si="0">SUM(E4:E33)</f>
        <v>800400</v>
      </c>
      <c r="F3" s="78">
        <f t="shared" si="0"/>
        <v>266800</v>
      </c>
      <c r="G3" s="78">
        <f t="shared" si="0"/>
        <v>266800</v>
      </c>
      <c r="H3" s="253">
        <f t="shared" si="0"/>
        <v>266800</v>
      </c>
    </row>
    <row r="4" spans="1:8" ht="15.95" outlineLevel="1">
      <c r="A4" s="749" t="s">
        <v>263</v>
      </c>
      <c r="B4" s="749" t="s">
        <v>257</v>
      </c>
      <c r="C4" s="750">
        <v>713002</v>
      </c>
      <c r="D4" s="67" t="s">
        <v>110</v>
      </c>
      <c r="E4" s="71">
        <f t="shared" ref="E4:E33" si="1">SUM(F4:H4)</f>
        <v>800400</v>
      </c>
      <c r="F4" s="113">
        <f>'Rozpočet - HW a licencie'!E14/3</f>
        <v>266800</v>
      </c>
      <c r="G4" s="114">
        <f>'Rozpočet - HW a licencie'!E14/3</f>
        <v>266800</v>
      </c>
      <c r="H4" s="254">
        <f>'Rozpočet - HW a licencie'!E14/3</f>
        <v>266800</v>
      </c>
    </row>
    <row r="5" spans="1:8" ht="15.95" outlineLevel="1">
      <c r="A5" s="749"/>
      <c r="B5" s="750"/>
      <c r="C5" s="750"/>
      <c r="D5" s="68" t="s">
        <v>111</v>
      </c>
      <c r="E5" s="72">
        <f t="shared" si="1"/>
        <v>0</v>
      </c>
      <c r="F5" s="115">
        <v>0</v>
      </c>
      <c r="G5" s="116">
        <v>0</v>
      </c>
      <c r="H5" s="255">
        <v>0</v>
      </c>
    </row>
    <row r="6" spans="1:8" ht="15.95" outlineLevel="1">
      <c r="A6" s="749"/>
      <c r="B6" s="750"/>
      <c r="C6" s="750"/>
      <c r="D6" s="68" t="s">
        <v>112</v>
      </c>
      <c r="E6" s="72">
        <f t="shared" si="1"/>
        <v>0</v>
      </c>
      <c r="F6" s="115">
        <v>0</v>
      </c>
      <c r="G6" s="116">
        <v>0</v>
      </c>
      <c r="H6" s="255">
        <v>0</v>
      </c>
    </row>
    <row r="7" spans="1:8" ht="15.95" outlineLevel="1">
      <c r="A7" s="749"/>
      <c r="B7" s="750"/>
      <c r="C7" s="750"/>
      <c r="D7" s="68" t="s">
        <v>113</v>
      </c>
      <c r="E7" s="72">
        <f t="shared" si="1"/>
        <v>0</v>
      </c>
      <c r="F7" s="115">
        <v>0</v>
      </c>
      <c r="G7" s="116">
        <v>0</v>
      </c>
      <c r="H7" s="255">
        <v>0</v>
      </c>
    </row>
    <row r="8" spans="1:8" ht="15.95" outlineLevel="1">
      <c r="A8" s="749"/>
      <c r="B8" s="750"/>
      <c r="C8" s="750"/>
      <c r="D8" s="68" t="s">
        <v>114</v>
      </c>
      <c r="E8" s="72">
        <f t="shared" si="1"/>
        <v>0</v>
      </c>
      <c r="F8" s="115">
        <v>0</v>
      </c>
      <c r="G8" s="116">
        <v>0</v>
      </c>
      <c r="H8" s="255">
        <v>0</v>
      </c>
    </row>
    <row r="9" spans="1:8" ht="15.95" outlineLevel="1">
      <c r="A9" s="749"/>
      <c r="B9" s="750"/>
      <c r="C9" s="750"/>
      <c r="D9" s="68" t="s">
        <v>115</v>
      </c>
      <c r="E9" s="72">
        <f t="shared" si="1"/>
        <v>0</v>
      </c>
      <c r="F9" s="115">
        <v>0</v>
      </c>
      <c r="G9" s="116">
        <v>0</v>
      </c>
      <c r="H9" s="255">
        <v>0</v>
      </c>
    </row>
    <row r="10" spans="1:8" ht="15.95" outlineLevel="1">
      <c r="A10" s="749"/>
      <c r="B10" s="750"/>
      <c r="C10" s="750"/>
      <c r="D10" s="68" t="s">
        <v>116</v>
      </c>
      <c r="E10" s="72">
        <f t="shared" si="1"/>
        <v>0</v>
      </c>
      <c r="F10" s="115">
        <v>0</v>
      </c>
      <c r="G10" s="116">
        <v>0</v>
      </c>
      <c r="H10" s="255">
        <v>0</v>
      </c>
    </row>
    <row r="11" spans="1:8" ht="15.95" outlineLevel="1">
      <c r="A11" s="749"/>
      <c r="B11" s="750"/>
      <c r="C11" s="750"/>
      <c r="D11" s="68" t="s">
        <v>117</v>
      </c>
      <c r="E11" s="72">
        <f t="shared" si="1"/>
        <v>0</v>
      </c>
      <c r="F11" s="115">
        <v>0</v>
      </c>
      <c r="G11" s="116">
        <v>0</v>
      </c>
      <c r="H11" s="255">
        <v>0</v>
      </c>
    </row>
    <row r="12" spans="1:8" ht="15.95" outlineLevel="1">
      <c r="A12" s="749"/>
      <c r="B12" s="750"/>
      <c r="C12" s="750"/>
      <c r="D12" s="68" t="s">
        <v>118</v>
      </c>
      <c r="E12" s="72">
        <f t="shared" si="1"/>
        <v>0</v>
      </c>
      <c r="F12" s="115">
        <v>0</v>
      </c>
      <c r="G12" s="116">
        <v>0</v>
      </c>
      <c r="H12" s="255">
        <v>0</v>
      </c>
    </row>
    <row r="13" spans="1:8" ht="15.95" outlineLevel="1">
      <c r="A13" s="749"/>
      <c r="B13" s="750"/>
      <c r="C13" s="750"/>
      <c r="D13" s="69" t="s">
        <v>119</v>
      </c>
      <c r="E13" s="73">
        <f t="shared" si="1"/>
        <v>0</v>
      </c>
      <c r="F13" s="117">
        <v>0</v>
      </c>
      <c r="G13" s="118">
        <v>0</v>
      </c>
      <c r="H13" s="256">
        <v>0</v>
      </c>
    </row>
    <row r="14" spans="1:8" ht="15" customHeight="1" outlineLevel="1">
      <c r="A14" s="749" t="s">
        <v>264</v>
      </c>
      <c r="B14" s="749" t="s">
        <v>265</v>
      </c>
      <c r="C14" s="750">
        <v>633002</v>
      </c>
      <c r="D14" s="67" t="s">
        <v>110</v>
      </c>
      <c r="E14" s="72">
        <f t="shared" si="1"/>
        <v>0</v>
      </c>
      <c r="F14" s="113">
        <v>0</v>
      </c>
      <c r="G14" s="114">
        <v>0</v>
      </c>
      <c r="H14" s="254">
        <v>0</v>
      </c>
    </row>
    <row r="15" spans="1:8" ht="15.95" outlineLevel="1">
      <c r="A15" s="749"/>
      <c r="B15" s="750"/>
      <c r="C15" s="750"/>
      <c r="D15" s="68" t="s">
        <v>111</v>
      </c>
      <c r="E15" s="72">
        <f t="shared" si="1"/>
        <v>0</v>
      </c>
      <c r="F15" s="115">
        <v>0</v>
      </c>
      <c r="G15" s="116">
        <v>0</v>
      </c>
      <c r="H15" s="255">
        <v>0</v>
      </c>
    </row>
    <row r="16" spans="1:8" ht="15.95" outlineLevel="1">
      <c r="A16" s="749"/>
      <c r="B16" s="750"/>
      <c r="C16" s="750"/>
      <c r="D16" s="68" t="s">
        <v>112</v>
      </c>
      <c r="E16" s="72">
        <f t="shared" si="1"/>
        <v>0</v>
      </c>
      <c r="F16" s="115">
        <v>0</v>
      </c>
      <c r="G16" s="116">
        <v>0</v>
      </c>
      <c r="H16" s="255">
        <v>0</v>
      </c>
    </row>
    <row r="17" spans="1:8" ht="15.95" outlineLevel="1">
      <c r="A17" s="749"/>
      <c r="B17" s="750"/>
      <c r="C17" s="750"/>
      <c r="D17" s="68" t="s">
        <v>113</v>
      </c>
      <c r="E17" s="72">
        <f t="shared" si="1"/>
        <v>0</v>
      </c>
      <c r="F17" s="115">
        <v>0</v>
      </c>
      <c r="G17" s="116">
        <v>0</v>
      </c>
      <c r="H17" s="255">
        <v>0</v>
      </c>
    </row>
    <row r="18" spans="1:8" ht="15.95" outlineLevel="1">
      <c r="A18" s="749"/>
      <c r="B18" s="750"/>
      <c r="C18" s="750"/>
      <c r="D18" s="68" t="s">
        <v>114</v>
      </c>
      <c r="E18" s="72">
        <f t="shared" si="1"/>
        <v>0</v>
      </c>
      <c r="F18" s="115">
        <v>0</v>
      </c>
      <c r="G18" s="116">
        <v>0</v>
      </c>
      <c r="H18" s="255">
        <v>0</v>
      </c>
    </row>
    <row r="19" spans="1:8" ht="15.95" outlineLevel="1">
      <c r="A19" s="749"/>
      <c r="B19" s="750"/>
      <c r="C19" s="750"/>
      <c r="D19" s="68" t="s">
        <v>115</v>
      </c>
      <c r="E19" s="72">
        <f t="shared" si="1"/>
        <v>0</v>
      </c>
      <c r="F19" s="115">
        <v>0</v>
      </c>
      <c r="G19" s="116">
        <v>0</v>
      </c>
      <c r="H19" s="255">
        <v>0</v>
      </c>
    </row>
    <row r="20" spans="1:8" ht="15.95" outlineLevel="1">
      <c r="A20" s="749"/>
      <c r="B20" s="750"/>
      <c r="C20" s="750"/>
      <c r="D20" s="68" t="s">
        <v>116</v>
      </c>
      <c r="E20" s="72">
        <f t="shared" si="1"/>
        <v>0</v>
      </c>
      <c r="F20" s="115">
        <v>0</v>
      </c>
      <c r="G20" s="116">
        <v>0</v>
      </c>
      <c r="H20" s="255">
        <v>0</v>
      </c>
    </row>
    <row r="21" spans="1:8" ht="15.95" outlineLevel="1">
      <c r="A21" s="749"/>
      <c r="B21" s="750"/>
      <c r="C21" s="750"/>
      <c r="D21" s="68" t="s">
        <v>117</v>
      </c>
      <c r="E21" s="72">
        <f t="shared" si="1"/>
        <v>0</v>
      </c>
      <c r="F21" s="115">
        <v>0</v>
      </c>
      <c r="G21" s="116">
        <v>0</v>
      </c>
      <c r="H21" s="255">
        <v>0</v>
      </c>
    </row>
    <row r="22" spans="1:8" ht="15.95" outlineLevel="1">
      <c r="A22" s="749"/>
      <c r="B22" s="750"/>
      <c r="C22" s="750"/>
      <c r="D22" s="68" t="s">
        <v>118</v>
      </c>
      <c r="E22" s="72">
        <f t="shared" si="1"/>
        <v>0</v>
      </c>
      <c r="F22" s="115">
        <v>0</v>
      </c>
      <c r="G22" s="116">
        <v>0</v>
      </c>
      <c r="H22" s="255">
        <v>0</v>
      </c>
    </row>
    <row r="23" spans="1:8" ht="15.95" outlineLevel="1">
      <c r="A23" s="749"/>
      <c r="B23" s="750"/>
      <c r="C23" s="750"/>
      <c r="D23" s="69" t="s">
        <v>119</v>
      </c>
      <c r="E23" s="73">
        <f t="shared" si="1"/>
        <v>0</v>
      </c>
      <c r="F23" s="117">
        <v>0</v>
      </c>
      <c r="G23" s="118">
        <v>0</v>
      </c>
      <c r="H23" s="256">
        <v>0</v>
      </c>
    </row>
    <row r="24" spans="1:8" ht="15.95" outlineLevel="1">
      <c r="A24" s="749" t="s">
        <v>260</v>
      </c>
      <c r="B24" s="750" t="s">
        <v>219</v>
      </c>
      <c r="C24" s="750">
        <v>637001</v>
      </c>
      <c r="D24" s="67" t="s">
        <v>110</v>
      </c>
      <c r="E24" s="72">
        <f t="shared" si="1"/>
        <v>0</v>
      </c>
      <c r="F24" s="113">
        <v>0</v>
      </c>
      <c r="G24" s="114">
        <v>0</v>
      </c>
      <c r="H24" s="254">
        <v>0</v>
      </c>
    </row>
    <row r="25" spans="1:8" ht="15.95" outlineLevel="1">
      <c r="A25" s="749"/>
      <c r="B25" s="750"/>
      <c r="C25" s="750"/>
      <c r="D25" s="68" t="s">
        <v>111</v>
      </c>
      <c r="E25" s="72">
        <f t="shared" si="1"/>
        <v>0</v>
      </c>
      <c r="F25" s="115">
        <v>0</v>
      </c>
      <c r="G25" s="116">
        <v>0</v>
      </c>
      <c r="H25" s="255">
        <v>0</v>
      </c>
    </row>
    <row r="26" spans="1:8" ht="15.95" outlineLevel="1">
      <c r="A26" s="749"/>
      <c r="B26" s="750"/>
      <c r="C26" s="750"/>
      <c r="D26" s="68" t="s">
        <v>112</v>
      </c>
      <c r="E26" s="72">
        <f t="shared" si="1"/>
        <v>0</v>
      </c>
      <c r="F26" s="115">
        <v>0</v>
      </c>
      <c r="G26" s="116">
        <v>0</v>
      </c>
      <c r="H26" s="255">
        <v>0</v>
      </c>
    </row>
    <row r="27" spans="1:8" ht="15.95" outlineLevel="1">
      <c r="A27" s="749"/>
      <c r="B27" s="750"/>
      <c r="C27" s="750"/>
      <c r="D27" s="68" t="s">
        <v>113</v>
      </c>
      <c r="E27" s="72">
        <f t="shared" si="1"/>
        <v>0</v>
      </c>
      <c r="F27" s="115">
        <v>0</v>
      </c>
      <c r="G27" s="116">
        <v>0</v>
      </c>
      <c r="H27" s="255">
        <v>0</v>
      </c>
    </row>
    <row r="28" spans="1:8" ht="15.95" outlineLevel="1">
      <c r="A28" s="749"/>
      <c r="B28" s="750"/>
      <c r="C28" s="750"/>
      <c r="D28" s="68" t="s">
        <v>114</v>
      </c>
      <c r="E28" s="72">
        <f t="shared" si="1"/>
        <v>0</v>
      </c>
      <c r="F28" s="115">
        <v>0</v>
      </c>
      <c r="G28" s="116">
        <v>0</v>
      </c>
      <c r="H28" s="255">
        <v>0</v>
      </c>
    </row>
    <row r="29" spans="1:8" ht="15.95" outlineLevel="1">
      <c r="A29" s="749"/>
      <c r="B29" s="750"/>
      <c r="C29" s="750"/>
      <c r="D29" s="68" t="s">
        <v>115</v>
      </c>
      <c r="E29" s="72">
        <f t="shared" si="1"/>
        <v>0</v>
      </c>
      <c r="F29" s="115">
        <v>0</v>
      </c>
      <c r="G29" s="116">
        <v>0</v>
      </c>
      <c r="H29" s="255">
        <v>0</v>
      </c>
    </row>
    <row r="30" spans="1:8" ht="15.95" outlineLevel="1">
      <c r="A30" s="749"/>
      <c r="B30" s="750"/>
      <c r="C30" s="750"/>
      <c r="D30" s="68" t="s">
        <v>116</v>
      </c>
      <c r="E30" s="72">
        <f t="shared" si="1"/>
        <v>0</v>
      </c>
      <c r="F30" s="115">
        <v>0</v>
      </c>
      <c r="G30" s="116">
        <v>0</v>
      </c>
      <c r="H30" s="255">
        <v>0</v>
      </c>
    </row>
    <row r="31" spans="1:8" ht="15.95" outlineLevel="1">
      <c r="A31" s="749"/>
      <c r="B31" s="750"/>
      <c r="C31" s="750"/>
      <c r="D31" s="68" t="s">
        <v>117</v>
      </c>
      <c r="E31" s="72">
        <f t="shared" si="1"/>
        <v>0</v>
      </c>
      <c r="F31" s="115">
        <v>0</v>
      </c>
      <c r="G31" s="116">
        <v>0</v>
      </c>
      <c r="H31" s="255">
        <v>0</v>
      </c>
    </row>
    <row r="32" spans="1:8" ht="15.95" outlineLevel="1">
      <c r="A32" s="749"/>
      <c r="B32" s="750"/>
      <c r="C32" s="750"/>
      <c r="D32" s="68" t="s">
        <v>118</v>
      </c>
      <c r="E32" s="72">
        <f t="shared" si="1"/>
        <v>0</v>
      </c>
      <c r="F32" s="115">
        <v>0</v>
      </c>
      <c r="G32" s="116">
        <v>0</v>
      </c>
      <c r="H32" s="255">
        <v>0</v>
      </c>
    </row>
    <row r="33" spans="1:8" ht="15.95" outlineLevel="1">
      <c r="A33" s="749"/>
      <c r="B33" s="750"/>
      <c r="C33" s="750"/>
      <c r="D33" s="69" t="s">
        <v>119</v>
      </c>
      <c r="E33" s="72">
        <f t="shared" si="1"/>
        <v>0</v>
      </c>
      <c r="F33" s="117">
        <v>0</v>
      </c>
      <c r="G33" s="118">
        <v>0</v>
      </c>
      <c r="H33" s="256">
        <v>0</v>
      </c>
    </row>
    <row r="34" spans="1:8">
      <c r="A34" s="761" t="s">
        <v>254</v>
      </c>
      <c r="B34" s="761"/>
      <c r="C34" s="761"/>
      <c r="D34" s="76"/>
      <c r="E34" s="77">
        <f t="shared" ref="E34:H34" si="2">SUM(E35:E84)</f>
        <v>1671919.1100000003</v>
      </c>
      <c r="F34" s="78">
        <f t="shared" si="2"/>
        <v>745408.00000000047</v>
      </c>
      <c r="G34" s="78">
        <f t="shared" si="2"/>
        <v>739751.11</v>
      </c>
      <c r="H34" s="253">
        <f t="shared" si="2"/>
        <v>186760</v>
      </c>
    </row>
    <row r="35" spans="1:8" ht="15.95" outlineLevel="1">
      <c r="A35" s="749" t="s">
        <v>255</v>
      </c>
      <c r="B35" s="750" t="s">
        <v>214</v>
      </c>
      <c r="C35" s="750">
        <v>635002</v>
      </c>
      <c r="D35" s="67" t="s">
        <v>110</v>
      </c>
      <c r="E35" s="71">
        <f t="shared" ref="E35:E48" si="3">SUM(F35:H35)</f>
        <v>234922.37</v>
      </c>
      <c r="F35" s="113">
        <v>50592</v>
      </c>
      <c r="G35" s="114">
        <v>184330.37</v>
      </c>
      <c r="H35" s="254">
        <v>0</v>
      </c>
    </row>
    <row r="36" spans="1:8" ht="15.95" outlineLevel="1">
      <c r="A36" s="749"/>
      <c r="B36" s="750"/>
      <c r="C36" s="750"/>
      <c r="D36" s="68" t="s">
        <v>111</v>
      </c>
      <c r="E36" s="72">
        <f t="shared" si="3"/>
        <v>234922.37</v>
      </c>
      <c r="F36" s="115">
        <v>50592</v>
      </c>
      <c r="G36" s="116">
        <v>184330.37</v>
      </c>
      <c r="H36" s="255">
        <v>0</v>
      </c>
    </row>
    <row r="37" spans="1:8" ht="15.95" outlineLevel="1">
      <c r="A37" s="749"/>
      <c r="B37" s="750"/>
      <c r="C37" s="750"/>
      <c r="D37" s="68" t="s">
        <v>112</v>
      </c>
      <c r="E37" s="72">
        <f t="shared" si="3"/>
        <v>234922.37</v>
      </c>
      <c r="F37" s="115">
        <v>50592</v>
      </c>
      <c r="G37" s="116">
        <v>184330.37</v>
      </c>
      <c r="H37" s="255">
        <v>0</v>
      </c>
    </row>
    <row r="38" spans="1:8" ht="15.95" outlineLevel="1">
      <c r="A38" s="749"/>
      <c r="B38" s="750"/>
      <c r="C38" s="750"/>
      <c r="D38" s="68" t="s">
        <v>113</v>
      </c>
      <c r="E38" s="72">
        <f t="shared" si="3"/>
        <v>130632</v>
      </c>
      <c r="F38" s="115">
        <f>50592+$F$4*10%</f>
        <v>77272</v>
      </c>
      <c r="G38" s="116">
        <f>$G$4*10%</f>
        <v>26680</v>
      </c>
      <c r="H38" s="255">
        <f>$H$4*10%</f>
        <v>26680</v>
      </c>
    </row>
    <row r="39" spans="1:8" ht="15.95" outlineLevel="1">
      <c r="A39" s="749"/>
      <c r="B39" s="750"/>
      <c r="C39" s="750"/>
      <c r="D39" s="68" t="s">
        <v>114</v>
      </c>
      <c r="E39" s="72">
        <f t="shared" si="3"/>
        <v>130632</v>
      </c>
      <c r="F39" s="115">
        <f t="shared" ref="F39:F44" si="4">50592+$F$4*10%</f>
        <v>77272</v>
      </c>
      <c r="G39" s="116">
        <f t="shared" ref="G39:G44" si="5">$G$4*10%</f>
        <v>26680</v>
      </c>
      <c r="H39" s="255">
        <f t="shared" ref="H39:H44" si="6">$H$4*10%</f>
        <v>26680</v>
      </c>
    </row>
    <row r="40" spans="1:8" ht="15.95" outlineLevel="1">
      <c r="A40" s="749"/>
      <c r="B40" s="750"/>
      <c r="C40" s="750"/>
      <c r="D40" s="68" t="s">
        <v>115</v>
      </c>
      <c r="E40" s="72">
        <f t="shared" si="3"/>
        <v>130632</v>
      </c>
      <c r="F40" s="115">
        <f t="shared" si="4"/>
        <v>77272</v>
      </c>
      <c r="G40" s="116">
        <f t="shared" si="5"/>
        <v>26680</v>
      </c>
      <c r="H40" s="255">
        <f t="shared" si="6"/>
        <v>26680</v>
      </c>
    </row>
    <row r="41" spans="1:8" ht="15.95" outlineLevel="1">
      <c r="A41" s="749"/>
      <c r="B41" s="750"/>
      <c r="C41" s="750"/>
      <c r="D41" s="68" t="s">
        <v>116</v>
      </c>
      <c r="E41" s="72">
        <f t="shared" si="3"/>
        <v>130632</v>
      </c>
      <c r="F41" s="115">
        <f t="shared" si="4"/>
        <v>77272</v>
      </c>
      <c r="G41" s="116">
        <f t="shared" si="5"/>
        <v>26680</v>
      </c>
      <c r="H41" s="255">
        <f t="shared" si="6"/>
        <v>26680</v>
      </c>
    </row>
    <row r="42" spans="1:8" ht="15.95" outlineLevel="1">
      <c r="A42" s="749"/>
      <c r="B42" s="750"/>
      <c r="C42" s="750"/>
      <c r="D42" s="68" t="s">
        <v>117</v>
      </c>
      <c r="E42" s="72">
        <f t="shared" si="3"/>
        <v>130632</v>
      </c>
      <c r="F42" s="115">
        <f t="shared" si="4"/>
        <v>77272</v>
      </c>
      <c r="G42" s="116">
        <f t="shared" si="5"/>
        <v>26680</v>
      </c>
      <c r="H42" s="255">
        <f t="shared" si="6"/>
        <v>26680</v>
      </c>
    </row>
    <row r="43" spans="1:8" ht="15.95" outlineLevel="1">
      <c r="A43" s="749"/>
      <c r="B43" s="750"/>
      <c r="C43" s="750"/>
      <c r="D43" s="68" t="s">
        <v>118</v>
      </c>
      <c r="E43" s="72">
        <f t="shared" si="3"/>
        <v>130632</v>
      </c>
      <c r="F43" s="115">
        <f t="shared" si="4"/>
        <v>77272</v>
      </c>
      <c r="G43" s="116">
        <f t="shared" si="5"/>
        <v>26680</v>
      </c>
      <c r="H43" s="255">
        <f t="shared" si="6"/>
        <v>26680</v>
      </c>
    </row>
    <row r="44" spans="1:8" ht="15.95" outlineLevel="1">
      <c r="A44" s="749"/>
      <c r="B44" s="750"/>
      <c r="C44" s="750"/>
      <c r="D44" s="69" t="s">
        <v>119</v>
      </c>
      <c r="E44" s="73">
        <f t="shared" si="3"/>
        <v>130632</v>
      </c>
      <c r="F44" s="115">
        <f t="shared" si="4"/>
        <v>77272</v>
      </c>
      <c r="G44" s="116">
        <f t="shared" si="5"/>
        <v>26680</v>
      </c>
      <c r="H44" s="255">
        <f t="shared" si="6"/>
        <v>26680</v>
      </c>
    </row>
    <row r="45" spans="1:8" ht="15.95" outlineLevel="1">
      <c r="A45" s="749" t="s">
        <v>256</v>
      </c>
      <c r="B45" s="749" t="s">
        <v>257</v>
      </c>
      <c r="C45" s="750">
        <v>718002</v>
      </c>
      <c r="D45" s="67" t="s">
        <v>110</v>
      </c>
      <c r="E45" s="72">
        <f t="shared" si="3"/>
        <v>0</v>
      </c>
      <c r="F45" s="113">
        <v>0</v>
      </c>
      <c r="G45" s="114">
        <v>0</v>
      </c>
      <c r="H45" s="254">
        <v>0</v>
      </c>
    </row>
    <row r="46" spans="1:8" ht="15.95" outlineLevel="1">
      <c r="A46" s="749"/>
      <c r="B46" s="750"/>
      <c r="C46" s="750"/>
      <c r="D46" s="68" t="s">
        <v>111</v>
      </c>
      <c r="E46" s="72">
        <f t="shared" si="3"/>
        <v>0</v>
      </c>
      <c r="F46" s="115">
        <v>0</v>
      </c>
      <c r="G46" s="116">
        <v>0</v>
      </c>
      <c r="H46" s="255">
        <v>0</v>
      </c>
    </row>
    <row r="47" spans="1:8" ht="15.95" outlineLevel="1">
      <c r="A47" s="749"/>
      <c r="B47" s="750"/>
      <c r="C47" s="750"/>
      <c r="D47" s="68" t="s">
        <v>112</v>
      </c>
      <c r="E47" s="72">
        <f t="shared" si="3"/>
        <v>0</v>
      </c>
      <c r="F47" s="115">
        <v>0</v>
      </c>
      <c r="G47" s="116">
        <v>0</v>
      </c>
      <c r="H47" s="255">
        <v>0</v>
      </c>
    </row>
    <row r="48" spans="1:8" ht="15.95" outlineLevel="1">
      <c r="A48" s="749"/>
      <c r="B48" s="750"/>
      <c r="C48" s="750"/>
      <c r="D48" s="68" t="s">
        <v>113</v>
      </c>
      <c r="E48" s="72">
        <f t="shared" si="3"/>
        <v>0</v>
      </c>
      <c r="F48" s="115">
        <v>0</v>
      </c>
      <c r="G48" s="116">
        <v>0</v>
      </c>
      <c r="H48" s="255">
        <v>0</v>
      </c>
    </row>
    <row r="49" spans="1:8" ht="15.95" outlineLevel="1">
      <c r="A49" s="749"/>
      <c r="B49" s="750"/>
      <c r="C49" s="750"/>
      <c r="D49" s="68" t="s">
        <v>114</v>
      </c>
      <c r="E49" s="72">
        <v>0</v>
      </c>
      <c r="F49" s="115">
        <v>0</v>
      </c>
      <c r="G49" s="116">
        <v>0</v>
      </c>
      <c r="H49" s="255">
        <v>0</v>
      </c>
    </row>
    <row r="50" spans="1:8" ht="15.95" outlineLevel="1">
      <c r="A50" s="749"/>
      <c r="B50" s="750"/>
      <c r="C50" s="750"/>
      <c r="D50" s="68" t="s">
        <v>115</v>
      </c>
      <c r="E50" s="72">
        <f t="shared" ref="E50:E84" si="7">SUM(F50:H50)</f>
        <v>0</v>
      </c>
      <c r="F50" s="115">
        <v>0</v>
      </c>
      <c r="G50" s="116">
        <v>0</v>
      </c>
      <c r="H50" s="255">
        <v>0</v>
      </c>
    </row>
    <row r="51" spans="1:8" ht="15.95" outlineLevel="1">
      <c r="A51" s="749"/>
      <c r="B51" s="750"/>
      <c r="C51" s="750"/>
      <c r="D51" s="68" t="s">
        <v>116</v>
      </c>
      <c r="E51" s="72">
        <f t="shared" si="7"/>
        <v>0</v>
      </c>
      <c r="F51" s="115">
        <v>0</v>
      </c>
      <c r="G51" s="116">
        <v>0</v>
      </c>
      <c r="H51" s="255">
        <v>0</v>
      </c>
    </row>
    <row r="52" spans="1:8" ht="15.95" outlineLevel="1">
      <c r="A52" s="749"/>
      <c r="B52" s="750"/>
      <c r="C52" s="750"/>
      <c r="D52" s="68" t="s">
        <v>117</v>
      </c>
      <c r="E52" s="72">
        <f t="shared" si="7"/>
        <v>0</v>
      </c>
      <c r="F52" s="115">
        <v>0</v>
      </c>
      <c r="G52" s="116">
        <v>0</v>
      </c>
      <c r="H52" s="255">
        <v>0</v>
      </c>
    </row>
    <row r="53" spans="1:8" ht="15.95" outlineLevel="1">
      <c r="A53" s="749"/>
      <c r="B53" s="750"/>
      <c r="C53" s="750"/>
      <c r="D53" s="68" t="s">
        <v>118</v>
      </c>
      <c r="E53" s="72">
        <f t="shared" si="7"/>
        <v>0</v>
      </c>
      <c r="F53" s="115">
        <v>0</v>
      </c>
      <c r="G53" s="116">
        <v>0</v>
      </c>
      <c r="H53" s="255">
        <v>0</v>
      </c>
    </row>
    <row r="54" spans="1:8" ht="15.95" outlineLevel="1">
      <c r="A54" s="749"/>
      <c r="B54" s="750"/>
      <c r="C54" s="750"/>
      <c r="D54" s="69" t="s">
        <v>119</v>
      </c>
      <c r="E54" s="73">
        <f t="shared" si="7"/>
        <v>0</v>
      </c>
      <c r="F54" s="117">
        <v>0</v>
      </c>
      <c r="G54" s="118">
        <v>0</v>
      </c>
      <c r="H54" s="256">
        <v>0</v>
      </c>
    </row>
    <row r="55" spans="1:8" ht="15.95" outlineLevel="1">
      <c r="A55" s="749" t="s">
        <v>258</v>
      </c>
      <c r="B55" s="750"/>
      <c r="C55" s="750"/>
      <c r="D55" s="67" t="s">
        <v>110</v>
      </c>
      <c r="E55" s="72">
        <f t="shared" si="7"/>
        <v>0</v>
      </c>
      <c r="F55" s="113">
        <v>0</v>
      </c>
      <c r="G55" s="114">
        <v>0</v>
      </c>
      <c r="H55" s="254">
        <v>0</v>
      </c>
    </row>
    <row r="56" spans="1:8" ht="15.95" outlineLevel="1">
      <c r="A56" s="749"/>
      <c r="B56" s="750"/>
      <c r="C56" s="750"/>
      <c r="D56" s="68" t="s">
        <v>111</v>
      </c>
      <c r="E56" s="72">
        <f t="shared" si="7"/>
        <v>0</v>
      </c>
      <c r="F56" s="115">
        <v>0</v>
      </c>
      <c r="G56" s="116">
        <v>0</v>
      </c>
      <c r="H56" s="255">
        <v>0</v>
      </c>
    </row>
    <row r="57" spans="1:8" ht="15.95" outlineLevel="1">
      <c r="A57" s="749"/>
      <c r="B57" s="750"/>
      <c r="C57" s="750"/>
      <c r="D57" s="68" t="s">
        <v>112</v>
      </c>
      <c r="E57" s="72">
        <f t="shared" si="7"/>
        <v>0</v>
      </c>
      <c r="F57" s="115">
        <v>0</v>
      </c>
      <c r="G57" s="116">
        <v>0</v>
      </c>
      <c r="H57" s="255">
        <v>0</v>
      </c>
    </row>
    <row r="58" spans="1:8" ht="15.95" outlineLevel="1">
      <c r="A58" s="749"/>
      <c r="B58" s="750"/>
      <c r="C58" s="750"/>
      <c r="D58" s="68" t="s">
        <v>113</v>
      </c>
      <c r="E58" s="72">
        <f t="shared" si="7"/>
        <v>0</v>
      </c>
      <c r="F58" s="115">
        <v>0</v>
      </c>
      <c r="G58" s="116">
        <v>0</v>
      </c>
      <c r="H58" s="255">
        <v>0</v>
      </c>
    </row>
    <row r="59" spans="1:8" ht="15.95" outlineLevel="1">
      <c r="A59" s="749"/>
      <c r="B59" s="750"/>
      <c r="C59" s="750"/>
      <c r="D59" s="68" t="s">
        <v>114</v>
      </c>
      <c r="E59" s="72">
        <f t="shared" si="7"/>
        <v>0</v>
      </c>
      <c r="F59" s="115">
        <v>0</v>
      </c>
      <c r="G59" s="116">
        <v>0</v>
      </c>
      <c r="H59" s="255">
        <v>0</v>
      </c>
    </row>
    <row r="60" spans="1:8" ht="15.95" outlineLevel="1">
      <c r="A60" s="749"/>
      <c r="B60" s="750"/>
      <c r="C60" s="750"/>
      <c r="D60" s="68" t="s">
        <v>115</v>
      </c>
      <c r="E60" s="72">
        <f t="shared" si="7"/>
        <v>0</v>
      </c>
      <c r="F60" s="115">
        <v>0</v>
      </c>
      <c r="G60" s="116">
        <v>0</v>
      </c>
      <c r="H60" s="255">
        <v>0</v>
      </c>
    </row>
    <row r="61" spans="1:8" ht="15.95" outlineLevel="1">
      <c r="A61" s="749"/>
      <c r="B61" s="750"/>
      <c r="C61" s="750"/>
      <c r="D61" s="68" t="s">
        <v>116</v>
      </c>
      <c r="E61" s="72">
        <f t="shared" si="7"/>
        <v>0</v>
      </c>
      <c r="F61" s="115">
        <v>0</v>
      </c>
      <c r="G61" s="116">
        <v>0</v>
      </c>
      <c r="H61" s="255">
        <v>0</v>
      </c>
    </row>
    <row r="62" spans="1:8" ht="15.95" outlineLevel="1">
      <c r="A62" s="749"/>
      <c r="B62" s="750"/>
      <c r="C62" s="750"/>
      <c r="D62" s="68" t="s">
        <v>117</v>
      </c>
      <c r="E62" s="72">
        <f t="shared" si="7"/>
        <v>0</v>
      </c>
      <c r="F62" s="115">
        <v>0</v>
      </c>
      <c r="G62" s="116">
        <v>0</v>
      </c>
      <c r="H62" s="255">
        <v>0</v>
      </c>
    </row>
    <row r="63" spans="1:8" ht="15.95" outlineLevel="1">
      <c r="A63" s="749"/>
      <c r="B63" s="750"/>
      <c r="C63" s="750"/>
      <c r="D63" s="68" t="s">
        <v>118</v>
      </c>
      <c r="E63" s="72">
        <f t="shared" si="7"/>
        <v>0</v>
      </c>
      <c r="F63" s="115">
        <v>0</v>
      </c>
      <c r="G63" s="116">
        <v>0</v>
      </c>
      <c r="H63" s="255">
        <v>0</v>
      </c>
    </row>
    <row r="64" spans="1:8" ht="15.95" outlineLevel="1">
      <c r="A64" s="749"/>
      <c r="B64" s="750"/>
      <c r="C64" s="750"/>
      <c r="D64" s="69" t="s">
        <v>119</v>
      </c>
      <c r="E64" s="73">
        <f t="shared" si="7"/>
        <v>0</v>
      </c>
      <c r="F64" s="117">
        <v>0</v>
      </c>
      <c r="G64" s="118">
        <v>0</v>
      </c>
      <c r="H64" s="256">
        <v>0</v>
      </c>
    </row>
    <row r="65" spans="1:8" ht="15.95" outlineLevel="1">
      <c r="A65" s="749" t="s">
        <v>259</v>
      </c>
      <c r="B65" s="750"/>
      <c r="C65" s="750"/>
      <c r="D65" s="67" t="s">
        <v>110</v>
      </c>
      <c r="E65" s="72">
        <f t="shared" si="7"/>
        <v>5272.8</v>
      </c>
      <c r="F65" s="113">
        <v>5272.8</v>
      </c>
      <c r="G65" s="114">
        <v>0</v>
      </c>
      <c r="H65" s="254">
        <v>0</v>
      </c>
    </row>
    <row r="66" spans="1:8" ht="15.95" outlineLevel="1">
      <c r="A66" s="749"/>
      <c r="B66" s="750"/>
      <c r="C66" s="750"/>
      <c r="D66" s="68" t="s">
        <v>111</v>
      </c>
      <c r="E66" s="72">
        <f t="shared" si="7"/>
        <v>5272.8</v>
      </c>
      <c r="F66" s="115">
        <v>5272.8</v>
      </c>
      <c r="G66" s="116">
        <v>0</v>
      </c>
      <c r="H66" s="255">
        <v>0</v>
      </c>
    </row>
    <row r="67" spans="1:8" ht="15.95" outlineLevel="1">
      <c r="A67" s="749"/>
      <c r="B67" s="750"/>
      <c r="C67" s="750"/>
      <c r="D67" s="68" t="s">
        <v>112</v>
      </c>
      <c r="E67" s="72">
        <f t="shared" si="7"/>
        <v>5272.8</v>
      </c>
      <c r="F67" s="115">
        <v>5272.8</v>
      </c>
      <c r="G67" s="116">
        <v>0</v>
      </c>
      <c r="H67" s="255">
        <v>0</v>
      </c>
    </row>
    <row r="68" spans="1:8" ht="15.95" outlineLevel="1">
      <c r="A68" s="749"/>
      <c r="B68" s="750"/>
      <c r="C68" s="750"/>
      <c r="D68" s="68" t="s">
        <v>113</v>
      </c>
      <c r="E68" s="72">
        <f t="shared" si="7"/>
        <v>5272.8</v>
      </c>
      <c r="F68" s="115">
        <v>5272.8</v>
      </c>
      <c r="G68" s="116">
        <v>0</v>
      </c>
      <c r="H68" s="255">
        <v>0</v>
      </c>
    </row>
    <row r="69" spans="1:8" ht="15.95" outlineLevel="1">
      <c r="A69" s="749"/>
      <c r="B69" s="750"/>
      <c r="C69" s="750"/>
      <c r="D69" s="68" t="s">
        <v>114</v>
      </c>
      <c r="E69" s="72">
        <f t="shared" si="7"/>
        <v>5272.8</v>
      </c>
      <c r="F69" s="115">
        <v>5272.8</v>
      </c>
      <c r="G69" s="116">
        <v>0</v>
      </c>
      <c r="H69" s="255">
        <v>0</v>
      </c>
    </row>
    <row r="70" spans="1:8" ht="15.95" outlineLevel="1">
      <c r="A70" s="749"/>
      <c r="B70" s="750"/>
      <c r="C70" s="750"/>
      <c r="D70" s="68" t="s">
        <v>115</v>
      </c>
      <c r="E70" s="72">
        <f t="shared" si="7"/>
        <v>5272.8</v>
      </c>
      <c r="F70" s="115">
        <v>5272.8</v>
      </c>
      <c r="G70" s="116">
        <v>0</v>
      </c>
      <c r="H70" s="255">
        <v>0</v>
      </c>
    </row>
    <row r="71" spans="1:8" ht="15.95" outlineLevel="1">
      <c r="A71" s="749"/>
      <c r="B71" s="750"/>
      <c r="C71" s="750"/>
      <c r="D71" s="68" t="s">
        <v>116</v>
      </c>
      <c r="E71" s="72">
        <f t="shared" si="7"/>
        <v>5272.8</v>
      </c>
      <c r="F71" s="115">
        <v>5272.8</v>
      </c>
      <c r="G71" s="116">
        <v>0</v>
      </c>
      <c r="H71" s="255">
        <v>0</v>
      </c>
    </row>
    <row r="72" spans="1:8" ht="15.95" outlineLevel="1">
      <c r="A72" s="749"/>
      <c r="B72" s="750"/>
      <c r="C72" s="750"/>
      <c r="D72" s="68" t="s">
        <v>117</v>
      </c>
      <c r="E72" s="72">
        <f t="shared" si="7"/>
        <v>5272.8</v>
      </c>
      <c r="F72" s="115">
        <v>5272.8</v>
      </c>
      <c r="G72" s="116">
        <v>0</v>
      </c>
      <c r="H72" s="255">
        <v>0</v>
      </c>
    </row>
    <row r="73" spans="1:8" ht="15.95" outlineLevel="1">
      <c r="A73" s="749"/>
      <c r="B73" s="750"/>
      <c r="C73" s="750"/>
      <c r="D73" s="68" t="s">
        <v>118</v>
      </c>
      <c r="E73" s="72">
        <f t="shared" si="7"/>
        <v>5272.8</v>
      </c>
      <c r="F73" s="115">
        <v>5272.8</v>
      </c>
      <c r="G73" s="116">
        <v>0</v>
      </c>
      <c r="H73" s="255">
        <v>0</v>
      </c>
    </row>
    <row r="74" spans="1:8" ht="15.95" outlineLevel="1">
      <c r="A74" s="749"/>
      <c r="B74" s="750"/>
      <c r="C74" s="750"/>
      <c r="D74" s="69" t="s">
        <v>119</v>
      </c>
      <c r="E74" s="73">
        <f t="shared" si="7"/>
        <v>5272.8</v>
      </c>
      <c r="F74" s="117">
        <v>5272.8</v>
      </c>
      <c r="G74" s="118">
        <v>0</v>
      </c>
      <c r="H74" s="256">
        <v>0</v>
      </c>
    </row>
    <row r="75" spans="1:8" ht="15.95" outlineLevel="1">
      <c r="A75" s="749" t="s">
        <v>260</v>
      </c>
      <c r="B75" s="750" t="s">
        <v>219</v>
      </c>
      <c r="C75" s="750">
        <v>637001</v>
      </c>
      <c r="D75" s="67" t="s">
        <v>110</v>
      </c>
      <c r="E75" s="72">
        <f t="shared" si="7"/>
        <v>0</v>
      </c>
      <c r="F75" s="113">
        <v>0</v>
      </c>
      <c r="G75" s="114">
        <v>0</v>
      </c>
      <c r="H75" s="254">
        <v>0</v>
      </c>
    </row>
    <row r="76" spans="1:8" ht="15.95" outlineLevel="1">
      <c r="A76" s="749"/>
      <c r="B76" s="750"/>
      <c r="C76" s="750"/>
      <c r="D76" s="68" t="s">
        <v>111</v>
      </c>
      <c r="E76" s="72">
        <f t="shared" si="7"/>
        <v>0</v>
      </c>
      <c r="F76" s="115">
        <v>0</v>
      </c>
      <c r="G76" s="116">
        <v>0</v>
      </c>
      <c r="H76" s="255">
        <v>0</v>
      </c>
    </row>
    <row r="77" spans="1:8" ht="15.95" outlineLevel="1">
      <c r="A77" s="749"/>
      <c r="B77" s="750"/>
      <c r="C77" s="750"/>
      <c r="D77" s="68" t="s">
        <v>112</v>
      </c>
      <c r="E77" s="72">
        <f t="shared" si="7"/>
        <v>0</v>
      </c>
      <c r="F77" s="115">
        <v>0</v>
      </c>
      <c r="G77" s="116">
        <v>0</v>
      </c>
      <c r="H77" s="255">
        <v>0</v>
      </c>
    </row>
    <row r="78" spans="1:8" ht="15.95" outlineLevel="1">
      <c r="A78" s="749"/>
      <c r="B78" s="750"/>
      <c r="C78" s="750"/>
      <c r="D78" s="68" t="s">
        <v>113</v>
      </c>
      <c r="E78" s="72">
        <f t="shared" si="7"/>
        <v>0</v>
      </c>
      <c r="F78" s="115">
        <v>0</v>
      </c>
      <c r="G78" s="116">
        <v>0</v>
      </c>
      <c r="H78" s="255">
        <v>0</v>
      </c>
    </row>
    <row r="79" spans="1:8" ht="15.95" outlineLevel="1">
      <c r="A79" s="749"/>
      <c r="B79" s="750"/>
      <c r="C79" s="750"/>
      <c r="D79" s="68" t="s">
        <v>114</v>
      </c>
      <c r="E79" s="72">
        <f t="shared" si="7"/>
        <v>0</v>
      </c>
      <c r="F79" s="115">
        <v>0</v>
      </c>
      <c r="G79" s="116">
        <v>0</v>
      </c>
      <c r="H79" s="255">
        <v>0</v>
      </c>
    </row>
    <row r="80" spans="1:8" ht="15.95" outlineLevel="1">
      <c r="A80" s="749"/>
      <c r="B80" s="750"/>
      <c r="C80" s="750"/>
      <c r="D80" s="68" t="s">
        <v>115</v>
      </c>
      <c r="E80" s="72">
        <f t="shared" si="7"/>
        <v>0</v>
      </c>
      <c r="F80" s="115">
        <v>0</v>
      </c>
      <c r="G80" s="116">
        <v>0</v>
      </c>
      <c r="H80" s="255">
        <v>0</v>
      </c>
    </row>
    <row r="81" spans="1:8" ht="15.95" outlineLevel="1">
      <c r="A81" s="749"/>
      <c r="B81" s="750"/>
      <c r="C81" s="750"/>
      <c r="D81" s="68" t="s">
        <v>116</v>
      </c>
      <c r="E81" s="72">
        <f t="shared" si="7"/>
        <v>0</v>
      </c>
      <c r="F81" s="115">
        <v>0</v>
      </c>
      <c r="G81" s="116">
        <v>0</v>
      </c>
      <c r="H81" s="255">
        <v>0</v>
      </c>
    </row>
    <row r="82" spans="1:8" ht="15.95" outlineLevel="1">
      <c r="A82" s="749"/>
      <c r="B82" s="750"/>
      <c r="C82" s="750"/>
      <c r="D82" s="68" t="s">
        <v>117</v>
      </c>
      <c r="E82" s="72">
        <f t="shared" si="7"/>
        <v>0</v>
      </c>
      <c r="F82" s="115">
        <v>0</v>
      </c>
      <c r="G82" s="116">
        <v>0</v>
      </c>
      <c r="H82" s="255">
        <v>0</v>
      </c>
    </row>
    <row r="83" spans="1:8" ht="15.95" outlineLevel="1">
      <c r="A83" s="749"/>
      <c r="B83" s="750"/>
      <c r="C83" s="750"/>
      <c r="D83" s="68" t="s">
        <v>118</v>
      </c>
      <c r="E83" s="72">
        <f t="shared" si="7"/>
        <v>0</v>
      </c>
      <c r="F83" s="115">
        <v>0</v>
      </c>
      <c r="G83" s="116">
        <v>0</v>
      </c>
      <c r="H83" s="255">
        <v>0</v>
      </c>
    </row>
    <row r="84" spans="1:8" ht="15.95" outlineLevel="1">
      <c r="A84" s="749"/>
      <c r="B84" s="750"/>
      <c r="C84" s="750"/>
      <c r="D84" s="69" t="s">
        <v>119</v>
      </c>
      <c r="E84" s="73">
        <f t="shared" si="7"/>
        <v>0</v>
      </c>
      <c r="F84" s="117">
        <v>0</v>
      </c>
      <c r="G84" s="118">
        <v>0</v>
      </c>
      <c r="H84" s="256">
        <v>0</v>
      </c>
    </row>
  </sheetData>
  <mergeCells count="27">
    <mergeCell ref="A1:D1"/>
    <mergeCell ref="A65:A74"/>
    <mergeCell ref="B65:B74"/>
    <mergeCell ref="C65:C74"/>
    <mergeCell ref="A75:A84"/>
    <mergeCell ref="B75:B84"/>
    <mergeCell ref="C75:C84"/>
    <mergeCell ref="A45:A54"/>
    <mergeCell ref="B45:B54"/>
    <mergeCell ref="C45:C54"/>
    <mergeCell ref="A55:A64"/>
    <mergeCell ref="B55:B64"/>
    <mergeCell ref="C55:C64"/>
    <mergeCell ref="A35:A44"/>
    <mergeCell ref="B35:B44"/>
    <mergeCell ref="C35:C44"/>
    <mergeCell ref="A3:C3"/>
    <mergeCell ref="A24:A33"/>
    <mergeCell ref="B24:B33"/>
    <mergeCell ref="C24:C33"/>
    <mergeCell ref="A34:C34"/>
    <mergeCell ref="A4:A13"/>
    <mergeCell ref="B4:B13"/>
    <mergeCell ref="C4:C13"/>
    <mergeCell ref="A14:A23"/>
    <mergeCell ref="B14:B23"/>
    <mergeCell ref="C14:C23"/>
  </mergeCells>
  <pageMargins left="0.7" right="0.7" top="0.75" bottom="0.75" header="0.3" footer="0.3"/>
  <pageSetup paperSize="9" scale="39" orientation="portrait" r:id="rId1"/>
  <ignoredErrors>
    <ignoredError sqref="E34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CC"/>
  </sheetPr>
  <dimension ref="A2:AN196"/>
  <sheetViews>
    <sheetView topLeftCell="A66" zoomScale="110" zoomScaleNormal="110" zoomScaleSheetLayoutView="87" workbookViewId="0" xr3:uid="{274F5AE0-5452-572F-8038-C13FFDA59D49}">
      <selection activeCell="AL108" sqref="AL108"/>
    </sheetView>
  </sheetViews>
  <sheetFormatPr defaultColWidth="8.7109375" defaultRowHeight="12"/>
  <cols>
    <col min="1" max="1" width="8.7109375" style="131"/>
    <col min="2" max="2" width="58.85546875" style="131" customWidth="1"/>
    <col min="3" max="3" width="13" style="131" customWidth="1"/>
    <col min="4" max="4" width="3.28515625" style="131" customWidth="1"/>
    <col min="5" max="29" width="3.7109375" style="131" customWidth="1"/>
    <col min="30" max="36" width="8" style="131" customWidth="1"/>
    <col min="37" max="37" width="10" style="131" customWidth="1"/>
    <col min="38" max="38" width="10.7109375" style="132" customWidth="1"/>
    <col min="39" max="40" width="10.7109375" style="131" customWidth="1"/>
    <col min="41" max="16384" width="8.7109375" style="131"/>
  </cols>
  <sheetData>
    <row r="2" spans="1:40" ht="36.75" customHeight="1">
      <c r="B2" s="249" t="s">
        <v>266</v>
      </c>
      <c r="C2" s="250" t="s">
        <v>267</v>
      </c>
      <c r="D2" s="243" t="s">
        <v>268</v>
      </c>
      <c r="E2" s="244" t="s">
        <v>269</v>
      </c>
      <c r="F2" s="244" t="s">
        <v>270</v>
      </c>
      <c r="G2" s="244" t="s">
        <v>271</v>
      </c>
      <c r="H2" s="244" t="s">
        <v>272</v>
      </c>
      <c r="I2" s="244" t="s">
        <v>273</v>
      </c>
      <c r="J2" s="244" t="s">
        <v>274</v>
      </c>
      <c r="K2" s="244" t="s">
        <v>275</v>
      </c>
      <c r="L2" s="244" t="s">
        <v>276</v>
      </c>
      <c r="M2" s="244" t="s">
        <v>277</v>
      </c>
      <c r="N2" s="244" t="s">
        <v>278</v>
      </c>
      <c r="O2" s="245" t="s">
        <v>279</v>
      </c>
      <c r="P2" s="244" t="s">
        <v>280</v>
      </c>
      <c r="Q2" s="244" t="s">
        <v>281</v>
      </c>
      <c r="R2" s="244" t="s">
        <v>282</v>
      </c>
      <c r="S2" s="244" t="s">
        <v>283</v>
      </c>
      <c r="T2" s="244" t="s">
        <v>284</v>
      </c>
      <c r="U2" s="244" t="s">
        <v>285</v>
      </c>
      <c r="V2" s="244" t="s">
        <v>286</v>
      </c>
      <c r="W2" s="244" t="s">
        <v>287</v>
      </c>
      <c r="X2" s="244" t="s">
        <v>288</v>
      </c>
      <c r="Y2" s="244" t="s">
        <v>289</v>
      </c>
      <c r="Z2" s="244" t="s">
        <v>290</v>
      </c>
      <c r="AA2" s="244" t="s">
        <v>291</v>
      </c>
      <c r="AB2" s="244" t="s">
        <v>292</v>
      </c>
      <c r="AC2" s="245" t="s">
        <v>293</v>
      </c>
      <c r="AD2" s="643" t="s">
        <v>294</v>
      </c>
      <c r="AE2" s="644" t="s">
        <v>295</v>
      </c>
      <c r="AF2" s="644" t="s">
        <v>296</v>
      </c>
      <c r="AG2" s="644" t="s">
        <v>297</v>
      </c>
      <c r="AH2" s="644" t="s">
        <v>298</v>
      </c>
      <c r="AI2" s="644" t="s">
        <v>299</v>
      </c>
      <c r="AJ2" s="644" t="s">
        <v>300</v>
      </c>
      <c r="AK2" s="643" t="s">
        <v>301</v>
      </c>
      <c r="AL2" s="645" t="s">
        <v>302</v>
      </c>
      <c r="AM2" s="133"/>
      <c r="AN2" s="133"/>
    </row>
    <row r="3" spans="1:40" ht="15">
      <c r="B3" s="591" t="s">
        <v>303</v>
      </c>
      <c r="C3" s="592"/>
      <c r="D3" s="627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9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9"/>
      <c r="AD3" s="628"/>
      <c r="AE3"/>
      <c r="AF3"/>
      <c r="AG3" s="629"/>
      <c r="AH3" s="629"/>
      <c r="AI3" s="629"/>
      <c r="AJ3" s="629"/>
      <c r="AK3" s="595"/>
      <c r="AL3" s="594">
        <f>SUM(AL4:AL20)</f>
        <v>4936418.75</v>
      </c>
      <c r="AM3" s="138"/>
    </row>
    <row r="4" spans="1:40" ht="12.95" customHeight="1">
      <c r="A4" s="131" t="s">
        <v>304</v>
      </c>
      <c r="B4" s="648" t="s">
        <v>305</v>
      </c>
      <c r="C4" s="131" t="s">
        <v>306</v>
      </c>
      <c r="D4" s="237">
        <v>1</v>
      </c>
      <c r="E4" s="238">
        <v>1</v>
      </c>
      <c r="F4" s="238">
        <v>1</v>
      </c>
      <c r="G4" s="238">
        <v>1</v>
      </c>
      <c r="H4" s="238">
        <v>1</v>
      </c>
      <c r="I4" s="238"/>
      <c r="J4" s="238"/>
      <c r="K4" s="238"/>
      <c r="L4" s="238"/>
      <c r="M4" s="238"/>
      <c r="N4" s="238"/>
      <c r="O4" s="239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510">
        <f t="shared" ref="AD4:AD20" si="0">COUNTA(D4:AC4)*21</f>
        <v>105</v>
      </c>
      <c r="AE4" s="511">
        <f t="shared" ref="AE4:AE20" si="1">COUNTA(D4:AC4)*21</f>
        <v>105</v>
      </c>
      <c r="AF4" s="511">
        <f>510</f>
        <v>510</v>
      </c>
      <c r="AG4" s="247"/>
      <c r="AH4" s="247">
        <f>ROUNDUP(AF4/AE4,0)</f>
        <v>5</v>
      </c>
      <c r="AI4" s="247"/>
      <c r="AJ4" s="458">
        <v>516</v>
      </c>
      <c r="AK4" s="508">
        <f>AD4*AG4*AI4</f>
        <v>0</v>
      </c>
      <c r="AL4" s="509">
        <f>AF4*AJ4</f>
        <v>263160</v>
      </c>
      <c r="AM4" s="138"/>
    </row>
    <row r="5" spans="1:40" ht="12.95" customHeight="1">
      <c r="A5" s="131" t="s">
        <v>304</v>
      </c>
      <c r="B5" s="648" t="s">
        <v>305</v>
      </c>
      <c r="C5" s="131" t="s">
        <v>307</v>
      </c>
      <c r="D5" s="237">
        <v>1</v>
      </c>
      <c r="E5" s="238">
        <v>1</v>
      </c>
      <c r="F5" s="238">
        <v>1</v>
      </c>
      <c r="G5" s="238">
        <v>1</v>
      </c>
      <c r="H5" s="238">
        <v>1</v>
      </c>
      <c r="I5" s="238"/>
      <c r="J5" s="238"/>
      <c r="K5" s="238"/>
      <c r="L5" s="238"/>
      <c r="M5" s="238"/>
      <c r="N5" s="238"/>
      <c r="O5" s="239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510">
        <f t="shared" si="0"/>
        <v>105</v>
      </c>
      <c r="AE5" s="511">
        <f t="shared" si="1"/>
        <v>105</v>
      </c>
      <c r="AF5" s="511">
        <v>420</v>
      </c>
      <c r="AG5" s="247"/>
      <c r="AH5" s="247">
        <f>ROUNDUP(AF5/AE5,0)</f>
        <v>4</v>
      </c>
      <c r="AI5" s="247"/>
      <c r="AJ5" s="458">
        <v>670</v>
      </c>
      <c r="AK5" s="508"/>
      <c r="AL5" s="509">
        <f>AF5*AJ5</f>
        <v>281400</v>
      </c>
      <c r="AM5" s="138"/>
    </row>
    <row r="6" spans="1:40" ht="12.95" customHeight="1">
      <c r="A6" s="131" t="s">
        <v>304</v>
      </c>
      <c r="B6" s="648" t="s">
        <v>308</v>
      </c>
      <c r="C6" s="131" t="s">
        <v>307</v>
      </c>
      <c r="D6" s="237">
        <v>1</v>
      </c>
      <c r="E6" s="238">
        <v>1</v>
      </c>
      <c r="F6" s="238">
        <v>1</v>
      </c>
      <c r="G6" s="238">
        <v>1</v>
      </c>
      <c r="H6" s="238">
        <v>1</v>
      </c>
      <c r="I6" s="238"/>
      <c r="J6" s="238"/>
      <c r="K6" s="238"/>
      <c r="L6" s="238"/>
      <c r="M6" s="238"/>
      <c r="N6" s="238"/>
      <c r="O6" s="239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510">
        <f t="shared" si="0"/>
        <v>105</v>
      </c>
      <c r="AE6" s="511">
        <f t="shared" si="1"/>
        <v>105</v>
      </c>
      <c r="AF6" s="511">
        <v>320</v>
      </c>
      <c r="AG6" s="247"/>
      <c r="AH6" s="247">
        <f t="shared" ref="AH6:AH20" si="2">ROUNDUP(AF6/AE6,0)</f>
        <v>4</v>
      </c>
      <c r="AI6" s="247"/>
      <c r="AJ6" s="458">
        <v>670</v>
      </c>
      <c r="AK6" s="508"/>
      <c r="AL6" s="509">
        <f>AF6*AJ6</f>
        <v>214400</v>
      </c>
      <c r="AM6" s="138"/>
    </row>
    <row r="7" spans="1:40" ht="12.95">
      <c r="A7" s="131" t="s">
        <v>304</v>
      </c>
      <c r="B7" s="648" t="s">
        <v>309</v>
      </c>
      <c r="C7" s="131" t="s">
        <v>310</v>
      </c>
      <c r="D7" s="237">
        <v>1</v>
      </c>
      <c r="E7" s="238">
        <v>1</v>
      </c>
      <c r="F7" s="238"/>
      <c r="G7" s="238"/>
      <c r="H7" s="238"/>
      <c r="I7" s="238"/>
      <c r="J7" s="238"/>
      <c r="K7" s="238"/>
      <c r="L7" s="238"/>
      <c r="M7" s="238"/>
      <c r="N7" s="238"/>
      <c r="O7" s="239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510">
        <f t="shared" si="0"/>
        <v>42</v>
      </c>
      <c r="AE7" s="511">
        <f t="shared" si="1"/>
        <v>42</v>
      </c>
      <c r="AF7" s="511"/>
      <c r="AG7" s="247"/>
      <c r="AH7" s="247">
        <f t="shared" si="2"/>
        <v>0</v>
      </c>
      <c r="AI7" s="247"/>
      <c r="AJ7" s="458"/>
      <c r="AK7" s="508"/>
      <c r="AL7" s="509">
        <f>'Rozpočet - HW a licencie'!E11</f>
        <v>378678.75</v>
      </c>
      <c r="AM7" s="138"/>
    </row>
    <row r="8" spans="1:40" ht="12.95">
      <c r="A8" s="131" t="s">
        <v>304</v>
      </c>
      <c r="B8" s="648" t="s">
        <v>311</v>
      </c>
      <c r="C8" s="131" t="s">
        <v>312</v>
      </c>
      <c r="D8" s="237">
        <v>1</v>
      </c>
      <c r="E8" s="238">
        <v>1</v>
      </c>
      <c r="F8" s="238">
        <v>1</v>
      </c>
      <c r="G8" s="238">
        <v>1</v>
      </c>
      <c r="H8" s="238">
        <v>1</v>
      </c>
      <c r="I8" s="238">
        <v>1</v>
      </c>
      <c r="J8" s="238">
        <v>1</v>
      </c>
      <c r="K8" s="238">
        <v>1</v>
      </c>
      <c r="L8" s="238"/>
      <c r="M8" s="238"/>
      <c r="N8" s="238"/>
      <c r="O8" s="239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510">
        <f t="shared" si="0"/>
        <v>168</v>
      </c>
      <c r="AE8" s="511">
        <f t="shared" si="1"/>
        <v>168</v>
      </c>
      <c r="AF8" s="511">
        <f>900+1200+600</f>
        <v>2700</v>
      </c>
      <c r="AG8" s="247"/>
      <c r="AH8" s="247">
        <f t="shared" si="2"/>
        <v>17</v>
      </c>
      <c r="AI8" s="247"/>
      <c r="AJ8" s="458">
        <v>550</v>
      </c>
      <c r="AK8" s="508">
        <f t="shared" ref="AK8:AK20" si="3">AD8*AG8*AI8</f>
        <v>0</v>
      </c>
      <c r="AL8" s="509">
        <f>AF8*AJ8</f>
        <v>1485000</v>
      </c>
      <c r="AM8" s="138"/>
    </row>
    <row r="9" spans="1:40" ht="12.95">
      <c r="A9" s="131" t="s">
        <v>304</v>
      </c>
      <c r="B9" s="648" t="s">
        <v>313</v>
      </c>
      <c r="C9" s="131" t="s">
        <v>312</v>
      </c>
      <c r="D9" s="237">
        <v>1</v>
      </c>
      <c r="E9" s="238">
        <v>1</v>
      </c>
      <c r="F9" s="238">
        <v>1</v>
      </c>
      <c r="G9" s="238">
        <v>1</v>
      </c>
      <c r="H9" s="238">
        <v>1</v>
      </c>
      <c r="I9" s="238">
        <v>1</v>
      </c>
      <c r="J9" s="238">
        <v>1</v>
      </c>
      <c r="K9" s="238">
        <v>1</v>
      </c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510">
        <f t="shared" si="0"/>
        <v>168</v>
      </c>
      <c r="AE9" s="511">
        <f t="shared" si="1"/>
        <v>168</v>
      </c>
      <c r="AF9" s="511">
        <v>600</v>
      </c>
      <c r="AG9" s="247"/>
      <c r="AH9" s="247">
        <f t="shared" si="2"/>
        <v>4</v>
      </c>
      <c r="AI9" s="247"/>
      <c r="AJ9" s="458">
        <v>550</v>
      </c>
      <c r="AK9" s="508"/>
      <c r="AL9" s="509">
        <f>AF9*AJ9</f>
        <v>330000</v>
      </c>
      <c r="AM9" s="138"/>
    </row>
    <row r="10" spans="1:40" ht="12.95">
      <c r="A10" s="131" t="s">
        <v>304</v>
      </c>
      <c r="B10" s="648" t="s">
        <v>314</v>
      </c>
      <c r="C10" s="131" t="s">
        <v>312</v>
      </c>
      <c r="D10" s="237">
        <v>1</v>
      </c>
      <c r="E10" s="238">
        <v>1</v>
      </c>
      <c r="F10" s="238">
        <v>1</v>
      </c>
      <c r="G10" s="238">
        <v>1</v>
      </c>
      <c r="H10" s="238">
        <v>1</v>
      </c>
      <c r="I10" s="238">
        <v>1</v>
      </c>
      <c r="J10" s="238">
        <v>1</v>
      </c>
      <c r="K10" s="238">
        <v>1</v>
      </c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510">
        <f t="shared" si="0"/>
        <v>168</v>
      </c>
      <c r="AE10" s="511">
        <f t="shared" si="1"/>
        <v>168</v>
      </c>
      <c r="AF10" s="511">
        <v>600</v>
      </c>
      <c r="AG10" s="247"/>
      <c r="AH10" s="247">
        <f t="shared" si="2"/>
        <v>4</v>
      </c>
      <c r="AI10" s="247"/>
      <c r="AJ10" s="458">
        <v>550</v>
      </c>
      <c r="AK10" s="508"/>
      <c r="AL10" s="509">
        <f>AF10*AJ10</f>
        <v>330000</v>
      </c>
      <c r="AM10" s="138"/>
    </row>
    <row r="11" spans="1:40" ht="12.95">
      <c r="A11" s="131" t="s">
        <v>304</v>
      </c>
      <c r="B11" s="648" t="s">
        <v>315</v>
      </c>
      <c r="C11" s="131" t="s">
        <v>316</v>
      </c>
      <c r="D11" s="237"/>
      <c r="E11" s="238"/>
      <c r="F11" s="238"/>
      <c r="G11" s="238"/>
      <c r="H11" s="238"/>
      <c r="I11" s="238"/>
      <c r="J11" s="238"/>
      <c r="K11" s="238">
        <v>1</v>
      </c>
      <c r="L11" s="238">
        <v>1</v>
      </c>
      <c r="M11" s="238">
        <v>1</v>
      </c>
      <c r="N11" s="238">
        <v>1</v>
      </c>
      <c r="O11" s="238">
        <v>1</v>
      </c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510">
        <f t="shared" si="0"/>
        <v>105</v>
      </c>
      <c r="AE11" s="511">
        <f t="shared" si="1"/>
        <v>105</v>
      </c>
      <c r="AF11" s="511">
        <f>320+640</f>
        <v>960</v>
      </c>
      <c r="AG11" s="247"/>
      <c r="AH11" s="247">
        <f t="shared" si="2"/>
        <v>10</v>
      </c>
      <c r="AI11" s="247"/>
      <c r="AJ11" s="458">
        <v>500</v>
      </c>
      <c r="AK11" s="508">
        <f t="shared" si="3"/>
        <v>0</v>
      </c>
      <c r="AL11" s="509">
        <f>AF11*AJ11</f>
        <v>480000</v>
      </c>
      <c r="AM11" s="138"/>
    </row>
    <row r="12" spans="1:40" ht="12.95">
      <c r="A12" s="131" t="s">
        <v>304</v>
      </c>
      <c r="B12" s="648" t="s">
        <v>317</v>
      </c>
      <c r="C12" s="131" t="s">
        <v>316</v>
      </c>
      <c r="D12" s="237"/>
      <c r="E12" s="238"/>
      <c r="F12" s="238"/>
      <c r="G12" s="238"/>
      <c r="H12" s="238"/>
      <c r="I12" s="238"/>
      <c r="J12" s="238"/>
      <c r="K12" s="238">
        <v>1</v>
      </c>
      <c r="L12" s="238">
        <v>1</v>
      </c>
      <c r="M12" s="238">
        <v>1</v>
      </c>
      <c r="N12" s="238">
        <v>1</v>
      </c>
      <c r="O12" s="238">
        <v>1</v>
      </c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510">
        <f t="shared" si="0"/>
        <v>105</v>
      </c>
      <c r="AE12" s="511">
        <f t="shared" si="1"/>
        <v>105</v>
      </c>
      <c r="AF12" s="511">
        <v>420</v>
      </c>
      <c r="AG12" s="247"/>
      <c r="AH12" s="247">
        <f t="shared" si="2"/>
        <v>4</v>
      </c>
      <c r="AI12" s="247"/>
      <c r="AJ12" s="458">
        <v>500</v>
      </c>
      <c r="AK12" s="508"/>
      <c r="AL12" s="509">
        <f>AF12*AJ12</f>
        <v>210000</v>
      </c>
      <c r="AM12" s="138"/>
    </row>
    <row r="13" spans="1:40" ht="12.95">
      <c r="A13" s="131" t="s">
        <v>304</v>
      </c>
      <c r="B13" s="648" t="s">
        <v>318</v>
      </c>
      <c r="C13" s="131" t="s">
        <v>316</v>
      </c>
      <c r="D13" s="237"/>
      <c r="E13" s="238"/>
      <c r="F13" s="238"/>
      <c r="G13" s="238"/>
      <c r="H13" s="238"/>
      <c r="I13" s="238"/>
      <c r="J13" s="238"/>
      <c r="K13" s="238">
        <v>1</v>
      </c>
      <c r="L13" s="238">
        <v>1</v>
      </c>
      <c r="M13" s="238">
        <v>1</v>
      </c>
      <c r="N13" s="238">
        <v>1</v>
      </c>
      <c r="O13" s="238">
        <v>1</v>
      </c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510">
        <f t="shared" si="0"/>
        <v>105</v>
      </c>
      <c r="AE13" s="511">
        <f t="shared" si="1"/>
        <v>105</v>
      </c>
      <c r="AF13" s="511">
        <v>620</v>
      </c>
      <c r="AG13" s="247"/>
      <c r="AH13" s="247">
        <f t="shared" si="2"/>
        <v>6</v>
      </c>
      <c r="AI13" s="247"/>
      <c r="AJ13" s="458">
        <v>500</v>
      </c>
      <c r="AK13" s="508"/>
      <c r="AL13" s="509">
        <f>AF13*AJ13</f>
        <v>310000</v>
      </c>
      <c r="AM13" s="138"/>
    </row>
    <row r="14" spans="1:40" ht="12.95">
      <c r="A14" s="131" t="s">
        <v>304</v>
      </c>
      <c r="B14" s="648" t="s">
        <v>317</v>
      </c>
      <c r="C14" s="131" t="s">
        <v>307</v>
      </c>
      <c r="D14" s="237"/>
      <c r="E14" s="238"/>
      <c r="F14" s="238"/>
      <c r="G14" s="238"/>
      <c r="H14" s="238"/>
      <c r="I14" s="238"/>
      <c r="J14" s="238"/>
      <c r="K14" s="238">
        <v>1</v>
      </c>
      <c r="L14" s="238">
        <v>1</v>
      </c>
      <c r="M14" s="238">
        <v>1</v>
      </c>
      <c r="N14" s="238">
        <v>1</v>
      </c>
      <c r="O14" s="238">
        <v>1</v>
      </c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510">
        <f t="shared" si="0"/>
        <v>105</v>
      </c>
      <c r="AE14" s="511">
        <f t="shared" si="1"/>
        <v>105</v>
      </c>
      <c r="AF14" s="511">
        <v>40</v>
      </c>
      <c r="AG14" s="247"/>
      <c r="AH14" s="247">
        <f t="shared" si="2"/>
        <v>1</v>
      </c>
      <c r="AI14" s="247"/>
      <c r="AJ14" s="458">
        <v>670</v>
      </c>
      <c r="AK14" s="508"/>
      <c r="AL14" s="509">
        <f t="shared" ref="AL14:AL15" si="4">AF14*AJ14</f>
        <v>26800</v>
      </c>
      <c r="AM14" s="138"/>
    </row>
    <row r="15" spans="1:40" ht="12.95">
      <c r="A15" s="131" t="s">
        <v>304</v>
      </c>
      <c r="B15" s="648" t="s">
        <v>319</v>
      </c>
      <c r="C15" s="131" t="s">
        <v>307</v>
      </c>
      <c r="D15" s="237"/>
      <c r="E15" s="238"/>
      <c r="F15" s="238"/>
      <c r="G15" s="238"/>
      <c r="H15" s="238"/>
      <c r="I15" s="238"/>
      <c r="J15" s="238"/>
      <c r="K15" s="238">
        <v>1</v>
      </c>
      <c r="L15" s="238">
        <v>1</v>
      </c>
      <c r="M15" s="238">
        <v>1</v>
      </c>
      <c r="N15" s="238">
        <v>1</v>
      </c>
      <c r="O15" s="238">
        <v>1</v>
      </c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510">
        <f t="shared" si="0"/>
        <v>105</v>
      </c>
      <c r="AE15" s="511">
        <f t="shared" si="1"/>
        <v>105</v>
      </c>
      <c r="AF15" s="511">
        <v>40</v>
      </c>
      <c r="AG15" s="247"/>
      <c r="AH15" s="247">
        <f t="shared" si="2"/>
        <v>1</v>
      </c>
      <c r="AI15" s="247"/>
      <c r="AJ15" s="458">
        <v>670</v>
      </c>
      <c r="AK15" s="508"/>
      <c r="AL15" s="509">
        <f t="shared" si="4"/>
        <v>26800</v>
      </c>
      <c r="AM15" s="138"/>
    </row>
    <row r="16" spans="1:40" ht="12.95">
      <c r="A16" s="131" t="s">
        <v>304</v>
      </c>
      <c r="B16" s="648" t="s">
        <v>315</v>
      </c>
      <c r="C16" s="131" t="s">
        <v>320</v>
      </c>
      <c r="D16" s="237"/>
      <c r="E16" s="238"/>
      <c r="F16" s="238"/>
      <c r="G16" s="238"/>
      <c r="H16" s="238"/>
      <c r="I16" s="238"/>
      <c r="J16" s="238"/>
      <c r="K16" s="238">
        <v>1</v>
      </c>
      <c r="L16" s="238">
        <v>1</v>
      </c>
      <c r="M16" s="238">
        <v>1</v>
      </c>
      <c r="N16" s="238">
        <v>1</v>
      </c>
      <c r="O16" s="238">
        <v>1</v>
      </c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510">
        <f t="shared" si="0"/>
        <v>105</v>
      </c>
      <c r="AE16" s="511">
        <f t="shared" si="1"/>
        <v>105</v>
      </c>
      <c r="AF16" s="511">
        <v>120</v>
      </c>
      <c r="AG16" s="247"/>
      <c r="AH16" s="247">
        <f t="shared" si="2"/>
        <v>2</v>
      </c>
      <c r="AI16" s="247"/>
      <c r="AJ16" s="458">
        <v>550</v>
      </c>
      <c r="AK16" s="508"/>
      <c r="AL16" s="509">
        <f t="shared" ref="AL16:AL20" si="5">AE16*AH16*AJ16</f>
        <v>115500</v>
      </c>
      <c r="AM16" s="138"/>
    </row>
    <row r="17" spans="1:39" ht="12.95">
      <c r="A17" s="131" t="s">
        <v>304</v>
      </c>
      <c r="B17" s="648" t="s">
        <v>315</v>
      </c>
      <c r="C17" s="131" t="s">
        <v>306</v>
      </c>
      <c r="D17" s="237"/>
      <c r="E17" s="238"/>
      <c r="F17" s="238"/>
      <c r="G17" s="238"/>
      <c r="H17" s="238"/>
      <c r="I17" s="238"/>
      <c r="J17" s="238"/>
      <c r="K17" s="238">
        <v>1</v>
      </c>
      <c r="L17" s="238">
        <v>1</v>
      </c>
      <c r="M17" s="238">
        <v>1</v>
      </c>
      <c r="N17" s="238">
        <v>1</v>
      </c>
      <c r="O17" s="238">
        <v>1</v>
      </c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510">
        <f t="shared" si="0"/>
        <v>105</v>
      </c>
      <c r="AE17" s="511">
        <f t="shared" si="1"/>
        <v>105</v>
      </c>
      <c r="AF17" s="511">
        <f>80</f>
        <v>80</v>
      </c>
      <c r="AG17" s="247"/>
      <c r="AH17" s="247">
        <f t="shared" si="2"/>
        <v>1</v>
      </c>
      <c r="AI17" s="247"/>
      <c r="AJ17" s="458">
        <v>516</v>
      </c>
      <c r="AK17" s="508"/>
      <c r="AL17" s="509">
        <f t="shared" si="5"/>
        <v>54180</v>
      </c>
      <c r="AM17" s="138"/>
    </row>
    <row r="18" spans="1:39" ht="12.95">
      <c r="A18" s="131" t="s">
        <v>304</v>
      </c>
      <c r="B18" s="648" t="s">
        <v>315</v>
      </c>
      <c r="C18" s="131" t="s">
        <v>321</v>
      </c>
      <c r="D18" s="237"/>
      <c r="E18" s="238"/>
      <c r="F18" s="238"/>
      <c r="G18" s="238"/>
      <c r="H18" s="238"/>
      <c r="I18" s="238"/>
      <c r="J18" s="238"/>
      <c r="K18" s="238">
        <v>1</v>
      </c>
      <c r="L18" s="238">
        <v>1</v>
      </c>
      <c r="M18" s="238">
        <v>1</v>
      </c>
      <c r="N18" s="238">
        <v>1</v>
      </c>
      <c r="O18" s="238">
        <v>1</v>
      </c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510">
        <f t="shared" si="0"/>
        <v>105</v>
      </c>
      <c r="AE18" s="511">
        <f t="shared" si="1"/>
        <v>105</v>
      </c>
      <c r="AF18" s="511">
        <v>400</v>
      </c>
      <c r="AG18" s="247"/>
      <c r="AH18" s="247">
        <f t="shared" si="2"/>
        <v>4</v>
      </c>
      <c r="AI18" s="247"/>
      <c r="AJ18" s="458">
        <v>500</v>
      </c>
      <c r="AK18" s="508"/>
      <c r="AL18" s="509">
        <f t="shared" si="5"/>
        <v>210000</v>
      </c>
      <c r="AM18" s="138"/>
    </row>
    <row r="19" spans="1:39" ht="13.35" customHeight="1">
      <c r="A19" s="131" t="s">
        <v>304</v>
      </c>
      <c r="B19" s="648" t="s">
        <v>322</v>
      </c>
      <c r="C19" s="131" t="s">
        <v>320</v>
      </c>
      <c r="D19" s="237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9"/>
      <c r="P19" s="238">
        <v>1</v>
      </c>
      <c r="Q19" s="238">
        <v>1</v>
      </c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510">
        <f t="shared" si="0"/>
        <v>42</v>
      </c>
      <c r="AE19" s="511">
        <f t="shared" si="1"/>
        <v>42</v>
      </c>
      <c r="AF19" s="511">
        <f>780/4</f>
        <v>195</v>
      </c>
      <c r="AG19" s="247"/>
      <c r="AH19" s="247">
        <f t="shared" si="2"/>
        <v>5</v>
      </c>
      <c r="AI19" s="247"/>
      <c r="AJ19" s="458">
        <v>550</v>
      </c>
      <c r="AK19" s="508">
        <f t="shared" si="3"/>
        <v>0</v>
      </c>
      <c r="AL19" s="509">
        <f t="shared" si="5"/>
        <v>115500</v>
      </c>
      <c r="AM19" s="138"/>
    </row>
    <row r="20" spans="1:39" ht="13.35" customHeight="1">
      <c r="A20" s="131" t="s">
        <v>304</v>
      </c>
      <c r="B20" s="648" t="s">
        <v>322</v>
      </c>
      <c r="C20" s="131" t="s">
        <v>323</v>
      </c>
      <c r="D20" s="237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9"/>
      <c r="P20" s="238">
        <v>1</v>
      </c>
      <c r="Q20" s="238">
        <v>1</v>
      </c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510">
        <f t="shared" si="0"/>
        <v>42</v>
      </c>
      <c r="AE20" s="511">
        <f t="shared" si="1"/>
        <v>42</v>
      </c>
      <c r="AF20" s="511">
        <v>150</v>
      </c>
      <c r="AG20" s="247"/>
      <c r="AH20" s="247">
        <f t="shared" si="2"/>
        <v>4</v>
      </c>
      <c r="AI20" s="247"/>
      <c r="AJ20" s="458">
        <v>625</v>
      </c>
      <c r="AK20" s="508">
        <f t="shared" si="3"/>
        <v>0</v>
      </c>
      <c r="AL20" s="509">
        <f t="shared" si="5"/>
        <v>105000</v>
      </c>
      <c r="AM20" s="138"/>
    </row>
    <row r="21" spans="1:39" ht="12.95">
      <c r="B21" s="251"/>
      <c r="D21" s="237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9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460"/>
      <c r="AE21" s="235"/>
      <c r="AF21" s="235"/>
      <c r="AG21" s="235"/>
      <c r="AH21" s="235"/>
      <c r="AI21" s="235"/>
      <c r="AJ21" s="459"/>
      <c r="AK21" s="508"/>
      <c r="AL21" s="509"/>
      <c r="AM21" s="138"/>
    </row>
    <row r="22" spans="1:39" ht="15">
      <c r="B22" s="591" t="s">
        <v>324</v>
      </c>
      <c r="C22" s="592"/>
      <c r="D22" s="237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9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628"/>
      <c r="AE22"/>
      <c r="AF22"/>
      <c r="AG22" s="629"/>
      <c r="AH22" s="629"/>
      <c r="AI22" s="629"/>
      <c r="AJ22" s="629"/>
      <c r="AK22" s="593"/>
      <c r="AL22" s="594">
        <f>SUM(AL23:AL33)</f>
        <v>1821330</v>
      </c>
      <c r="AM22" s="138"/>
    </row>
    <row r="23" spans="1:39" ht="12.95" customHeight="1">
      <c r="A23" s="131" t="s">
        <v>325</v>
      </c>
      <c r="B23" s="648" t="s">
        <v>305</v>
      </c>
      <c r="C23" s="131" t="s">
        <v>306</v>
      </c>
      <c r="D23" s="237"/>
      <c r="E23" s="238"/>
      <c r="F23" s="238">
        <v>1</v>
      </c>
      <c r="G23" s="238">
        <v>1</v>
      </c>
      <c r="H23" s="238">
        <v>1</v>
      </c>
      <c r="I23" s="238">
        <v>1</v>
      </c>
      <c r="J23" s="238"/>
      <c r="K23" s="238"/>
      <c r="L23" s="238"/>
      <c r="M23" s="238"/>
      <c r="N23" s="238"/>
      <c r="O23" s="239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510">
        <f>COUNTA(D23:AC23)*21</f>
        <v>84</v>
      </c>
      <c r="AE23" s="511">
        <f t="shared" ref="AE23:AE33" si="6">COUNTA(D23:AC23)*21</f>
        <v>84</v>
      </c>
      <c r="AF23" s="511">
        <v>590</v>
      </c>
      <c r="AG23" s="247"/>
      <c r="AH23" s="247">
        <f>ROUNDUP(AF23/AE23,0)</f>
        <v>8</v>
      </c>
      <c r="AI23" s="247"/>
      <c r="AJ23" s="458">
        <v>516</v>
      </c>
      <c r="AK23" s="508">
        <f t="shared" ref="AK23:AK33" si="7">AD23*AG23*AI23</f>
        <v>0</v>
      </c>
      <c r="AL23" s="509">
        <f t="shared" ref="AL23:AL33" si="8">AF23*AJ23</f>
        <v>304440</v>
      </c>
      <c r="AM23" s="138"/>
    </row>
    <row r="24" spans="1:39" ht="12.95" customHeight="1">
      <c r="A24" s="131" t="s">
        <v>325</v>
      </c>
      <c r="B24" s="648" t="s">
        <v>305</v>
      </c>
      <c r="C24" s="131" t="s">
        <v>307</v>
      </c>
      <c r="D24" s="237"/>
      <c r="E24" s="238"/>
      <c r="F24" s="238">
        <v>1</v>
      </c>
      <c r="G24" s="238">
        <v>1</v>
      </c>
      <c r="H24" s="238">
        <v>1</v>
      </c>
      <c r="I24" s="238">
        <v>1</v>
      </c>
      <c r="J24" s="238"/>
      <c r="K24" s="238"/>
      <c r="L24" s="238"/>
      <c r="M24" s="238"/>
      <c r="N24" s="238"/>
      <c r="O24" s="239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510">
        <f t="shared" ref="AD24:AD33" si="9">COUNTA(D24:AC24)*21</f>
        <v>84</v>
      </c>
      <c r="AE24" s="511">
        <f t="shared" si="6"/>
        <v>84</v>
      </c>
      <c r="AF24" s="511">
        <v>0</v>
      </c>
      <c r="AG24" s="247"/>
      <c r="AH24" s="247">
        <f t="shared" ref="AH24:AH33" si="10">ROUNDUP(AF24/AE24,0)</f>
        <v>0</v>
      </c>
      <c r="AI24" s="247"/>
      <c r="AJ24" s="458">
        <v>670</v>
      </c>
      <c r="AK24" s="508"/>
      <c r="AL24" s="509">
        <f t="shared" si="8"/>
        <v>0</v>
      </c>
      <c r="AM24" s="138"/>
    </row>
    <row r="25" spans="1:39" ht="12.95" customHeight="1">
      <c r="A25" s="131" t="s">
        <v>325</v>
      </c>
      <c r="B25" s="648" t="s">
        <v>308</v>
      </c>
      <c r="C25" s="131" t="s">
        <v>307</v>
      </c>
      <c r="D25" s="237"/>
      <c r="E25" s="238"/>
      <c r="F25" s="238">
        <v>1</v>
      </c>
      <c r="G25" s="238">
        <v>1</v>
      </c>
      <c r="H25" s="238">
        <v>1</v>
      </c>
      <c r="I25" s="238">
        <v>1</v>
      </c>
      <c r="J25" s="238"/>
      <c r="K25" s="238"/>
      <c r="L25" s="238"/>
      <c r="M25" s="238"/>
      <c r="N25" s="238"/>
      <c r="O25" s="239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510">
        <f t="shared" si="9"/>
        <v>84</v>
      </c>
      <c r="AE25" s="511">
        <f t="shared" si="6"/>
        <v>84</v>
      </c>
      <c r="AF25" s="511">
        <v>0</v>
      </c>
      <c r="AG25" s="247"/>
      <c r="AH25" s="247">
        <f t="shared" si="10"/>
        <v>0</v>
      </c>
      <c r="AI25" s="247"/>
      <c r="AJ25" s="458">
        <v>670</v>
      </c>
      <c r="AK25" s="508"/>
      <c r="AL25" s="509">
        <f t="shared" si="8"/>
        <v>0</v>
      </c>
      <c r="AM25" s="138"/>
    </row>
    <row r="26" spans="1:39" ht="12.95">
      <c r="A26" s="131" t="s">
        <v>325</v>
      </c>
      <c r="B26" s="648" t="s">
        <v>311</v>
      </c>
      <c r="C26" s="131" t="s">
        <v>312</v>
      </c>
      <c r="D26" s="237"/>
      <c r="E26" s="238"/>
      <c r="F26" s="238"/>
      <c r="G26" s="238"/>
      <c r="H26" s="238"/>
      <c r="I26" s="238"/>
      <c r="J26" s="238">
        <v>1</v>
      </c>
      <c r="K26" s="238">
        <v>1</v>
      </c>
      <c r="L26" s="238">
        <v>1</v>
      </c>
      <c r="M26" s="238">
        <v>1</v>
      </c>
      <c r="N26" s="238">
        <v>1</v>
      </c>
      <c r="O26" s="239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510">
        <f t="shared" si="9"/>
        <v>105</v>
      </c>
      <c r="AE26" s="511">
        <f t="shared" si="6"/>
        <v>105</v>
      </c>
      <c r="AF26" s="511">
        <v>700</v>
      </c>
      <c r="AG26" s="247"/>
      <c r="AH26" s="247">
        <f t="shared" si="10"/>
        <v>7</v>
      </c>
      <c r="AI26" s="247"/>
      <c r="AJ26" s="458">
        <v>550</v>
      </c>
      <c r="AK26" s="508">
        <f t="shared" si="7"/>
        <v>0</v>
      </c>
      <c r="AL26" s="509">
        <f t="shared" si="8"/>
        <v>385000</v>
      </c>
      <c r="AM26" s="138"/>
    </row>
    <row r="27" spans="1:39" ht="12.95">
      <c r="A27" s="131" t="s">
        <v>325</v>
      </c>
      <c r="B27" s="648" t="s">
        <v>311</v>
      </c>
      <c r="C27" s="131" t="s">
        <v>326</v>
      </c>
      <c r="D27" s="237"/>
      <c r="E27" s="238"/>
      <c r="F27" s="238"/>
      <c r="G27" s="238"/>
      <c r="H27" s="238"/>
      <c r="I27" s="238"/>
      <c r="J27" s="238">
        <v>1</v>
      </c>
      <c r="K27" s="238">
        <v>1</v>
      </c>
      <c r="L27" s="238">
        <v>1</v>
      </c>
      <c r="M27" s="238">
        <v>1</v>
      </c>
      <c r="N27" s="238">
        <v>1</v>
      </c>
      <c r="O27" s="239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510">
        <f t="shared" si="9"/>
        <v>105</v>
      </c>
      <c r="AE27" s="511">
        <f t="shared" si="6"/>
        <v>105</v>
      </c>
      <c r="AF27" s="511">
        <v>300</v>
      </c>
      <c r="AG27" s="247"/>
      <c r="AH27" s="247">
        <f t="shared" si="10"/>
        <v>3</v>
      </c>
      <c r="AI27" s="247"/>
      <c r="AJ27" s="458">
        <v>550</v>
      </c>
      <c r="AK27" s="508"/>
      <c r="AL27" s="509">
        <f t="shared" si="8"/>
        <v>165000</v>
      </c>
      <c r="AM27" s="138"/>
    </row>
    <row r="28" spans="1:39" ht="12.95">
      <c r="A28" s="131" t="s">
        <v>325</v>
      </c>
      <c r="B28" s="648" t="s">
        <v>315</v>
      </c>
      <c r="C28" s="131" t="s">
        <v>316</v>
      </c>
      <c r="D28" s="237"/>
      <c r="E28" s="238"/>
      <c r="F28" s="238"/>
      <c r="G28" s="238"/>
      <c r="H28" s="238"/>
      <c r="I28" s="238"/>
      <c r="J28" s="238"/>
      <c r="K28" s="238"/>
      <c r="L28" s="238"/>
      <c r="M28" s="238">
        <v>1</v>
      </c>
      <c r="N28" s="238">
        <v>1</v>
      </c>
      <c r="O28" s="239">
        <v>1</v>
      </c>
      <c r="P28" s="238">
        <v>1</v>
      </c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510">
        <f t="shared" si="9"/>
        <v>84</v>
      </c>
      <c r="AE28" s="511">
        <f t="shared" si="6"/>
        <v>84</v>
      </c>
      <c r="AF28" s="511">
        <v>640</v>
      </c>
      <c r="AG28" s="247"/>
      <c r="AH28" s="247">
        <f t="shared" si="10"/>
        <v>8</v>
      </c>
      <c r="AI28" s="247"/>
      <c r="AJ28" s="458">
        <v>500</v>
      </c>
      <c r="AK28" s="508">
        <f t="shared" si="7"/>
        <v>0</v>
      </c>
      <c r="AL28" s="509">
        <f t="shared" si="8"/>
        <v>320000</v>
      </c>
      <c r="AM28" s="138"/>
    </row>
    <row r="29" spans="1:39" ht="12.95">
      <c r="A29" s="131" t="s">
        <v>325</v>
      </c>
      <c r="B29" s="648" t="s">
        <v>315</v>
      </c>
      <c r="C29" s="131" t="s">
        <v>321</v>
      </c>
      <c r="D29" s="237"/>
      <c r="E29" s="238"/>
      <c r="F29" s="238"/>
      <c r="G29" s="238"/>
      <c r="H29" s="238"/>
      <c r="I29" s="238"/>
      <c r="J29" s="238"/>
      <c r="K29" s="238"/>
      <c r="L29" s="238"/>
      <c r="M29" s="238">
        <v>1</v>
      </c>
      <c r="N29" s="238">
        <v>1</v>
      </c>
      <c r="O29" s="239">
        <v>1</v>
      </c>
      <c r="P29" s="238">
        <v>1</v>
      </c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510">
        <f t="shared" si="9"/>
        <v>84</v>
      </c>
      <c r="AE29" s="511">
        <f t="shared" si="6"/>
        <v>84</v>
      </c>
      <c r="AF29" s="511">
        <v>200</v>
      </c>
      <c r="AG29" s="247"/>
      <c r="AH29" s="247">
        <f t="shared" si="10"/>
        <v>3</v>
      </c>
      <c r="AI29" s="247"/>
      <c r="AJ29" s="458">
        <v>500</v>
      </c>
      <c r="AK29" s="508"/>
      <c r="AL29" s="509">
        <f t="shared" si="8"/>
        <v>100000</v>
      </c>
      <c r="AM29" s="138"/>
    </row>
    <row r="30" spans="1:39" ht="12.95">
      <c r="A30" s="131" t="s">
        <v>325</v>
      </c>
      <c r="B30" s="648" t="s">
        <v>315</v>
      </c>
      <c r="C30" s="131" t="s">
        <v>306</v>
      </c>
      <c r="D30" s="237"/>
      <c r="E30" s="238"/>
      <c r="F30" s="238"/>
      <c r="G30" s="238"/>
      <c r="H30" s="238"/>
      <c r="I30" s="238"/>
      <c r="J30" s="238"/>
      <c r="K30" s="238"/>
      <c r="L30" s="238"/>
      <c r="M30" s="238">
        <v>1</v>
      </c>
      <c r="N30" s="238">
        <v>1</v>
      </c>
      <c r="O30" s="239">
        <v>1</v>
      </c>
      <c r="P30" s="238">
        <v>1</v>
      </c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510">
        <f t="shared" si="9"/>
        <v>84</v>
      </c>
      <c r="AE30" s="511">
        <f t="shared" si="6"/>
        <v>84</v>
      </c>
      <c r="AF30" s="511">
        <v>40</v>
      </c>
      <c r="AG30" s="247"/>
      <c r="AH30" s="247">
        <f t="shared" si="10"/>
        <v>1</v>
      </c>
      <c r="AI30" s="247"/>
      <c r="AJ30" s="458">
        <v>516</v>
      </c>
      <c r="AK30" s="508"/>
      <c r="AL30" s="509">
        <f t="shared" si="8"/>
        <v>20640</v>
      </c>
      <c r="AM30" s="138"/>
    </row>
    <row r="31" spans="1:39" ht="12.95">
      <c r="A31" s="131" t="s">
        <v>325</v>
      </c>
      <c r="B31" s="648" t="s">
        <v>315</v>
      </c>
      <c r="C31" s="131" t="s">
        <v>326</v>
      </c>
      <c r="D31" s="237"/>
      <c r="E31" s="238"/>
      <c r="F31" s="238"/>
      <c r="G31" s="238"/>
      <c r="H31" s="238"/>
      <c r="I31" s="238"/>
      <c r="J31" s="238"/>
      <c r="K31" s="238"/>
      <c r="L31" s="238"/>
      <c r="M31" s="238">
        <v>1</v>
      </c>
      <c r="N31" s="238">
        <v>1</v>
      </c>
      <c r="O31" s="239">
        <v>1</v>
      </c>
      <c r="P31" s="238">
        <v>1</v>
      </c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510">
        <f t="shared" si="9"/>
        <v>84</v>
      </c>
      <c r="AE31" s="511">
        <f t="shared" si="6"/>
        <v>84</v>
      </c>
      <c r="AF31" s="511">
        <f>620+40</f>
        <v>660</v>
      </c>
      <c r="AG31" s="247"/>
      <c r="AH31" s="247">
        <f t="shared" si="10"/>
        <v>8</v>
      </c>
      <c r="AI31" s="247"/>
      <c r="AJ31" s="458">
        <v>550</v>
      </c>
      <c r="AK31" s="508"/>
      <c r="AL31" s="509">
        <f t="shared" si="8"/>
        <v>363000</v>
      </c>
      <c r="AM31" s="138"/>
    </row>
    <row r="32" spans="1:39" ht="12.95">
      <c r="A32" s="131" t="s">
        <v>325</v>
      </c>
      <c r="B32" s="648" t="s">
        <v>322</v>
      </c>
      <c r="C32" s="131" t="s">
        <v>323</v>
      </c>
      <c r="D32" s="237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9"/>
      <c r="P32" s="238"/>
      <c r="Q32" s="238">
        <v>1</v>
      </c>
      <c r="R32" s="238">
        <v>1</v>
      </c>
      <c r="S32" s="238">
        <v>1</v>
      </c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510">
        <f t="shared" si="9"/>
        <v>63</v>
      </c>
      <c r="AE32" s="511">
        <f t="shared" si="6"/>
        <v>63</v>
      </c>
      <c r="AF32" s="511">
        <v>50</v>
      </c>
      <c r="AG32" s="247"/>
      <c r="AH32" s="247">
        <f t="shared" si="10"/>
        <v>1</v>
      </c>
      <c r="AI32" s="247"/>
      <c r="AJ32" s="458">
        <v>625</v>
      </c>
      <c r="AK32" s="508">
        <f t="shared" si="7"/>
        <v>0</v>
      </c>
      <c r="AL32" s="509">
        <f t="shared" si="8"/>
        <v>31250</v>
      </c>
      <c r="AM32" s="138"/>
    </row>
    <row r="33" spans="1:39" ht="12.95">
      <c r="A33" s="131" t="s">
        <v>325</v>
      </c>
      <c r="B33" s="648" t="s">
        <v>322</v>
      </c>
      <c r="C33" s="131" t="s">
        <v>320</v>
      </c>
      <c r="D33" s="237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9"/>
      <c r="P33" s="238"/>
      <c r="Q33" s="238">
        <v>1</v>
      </c>
      <c r="R33" s="238">
        <v>1</v>
      </c>
      <c r="S33" s="238">
        <v>1</v>
      </c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510">
        <f t="shared" si="9"/>
        <v>63</v>
      </c>
      <c r="AE33" s="511">
        <f t="shared" si="6"/>
        <v>63</v>
      </c>
      <c r="AF33" s="511">
        <v>240</v>
      </c>
      <c r="AG33" s="247"/>
      <c r="AH33" s="247">
        <f t="shared" si="10"/>
        <v>4</v>
      </c>
      <c r="AI33" s="247"/>
      <c r="AJ33" s="458">
        <v>550</v>
      </c>
      <c r="AK33" s="508"/>
      <c r="AL33" s="509">
        <f t="shared" si="8"/>
        <v>132000</v>
      </c>
      <c r="AM33" s="138"/>
    </row>
    <row r="34" spans="1:39" ht="12.95">
      <c r="B34" s="251"/>
      <c r="D34" s="237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9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460"/>
      <c r="AE34" s="235"/>
      <c r="AF34" s="235"/>
      <c r="AG34" s="235"/>
      <c r="AH34" s="235"/>
      <c r="AI34" s="235"/>
      <c r="AJ34" s="459"/>
      <c r="AK34" s="508"/>
      <c r="AL34" s="509"/>
      <c r="AM34" s="138"/>
    </row>
    <row r="35" spans="1:39" ht="15">
      <c r="B35" s="591" t="s">
        <v>327</v>
      </c>
      <c r="C35" s="592"/>
      <c r="D35" s="237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9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628"/>
      <c r="AE35"/>
      <c r="AF35"/>
      <c r="AG35" s="629"/>
      <c r="AH35" s="629"/>
      <c r="AI35" s="629"/>
      <c r="AJ35" s="629"/>
      <c r="AK35" s="593"/>
      <c r="AL35" s="594">
        <f>SUM(AL36:AL46)</f>
        <v>2725170</v>
      </c>
      <c r="AM35" s="138"/>
    </row>
    <row r="36" spans="1:39" ht="12.95">
      <c r="A36" s="131" t="s">
        <v>328</v>
      </c>
      <c r="B36" s="648" t="s">
        <v>305</v>
      </c>
      <c r="C36" s="131" t="s">
        <v>306</v>
      </c>
      <c r="D36" s="237"/>
      <c r="E36" s="238"/>
      <c r="F36" s="238"/>
      <c r="G36" s="238"/>
      <c r="H36" s="238"/>
      <c r="I36" s="238">
        <v>1</v>
      </c>
      <c r="J36" s="238">
        <v>1</v>
      </c>
      <c r="K36" s="238">
        <v>1</v>
      </c>
      <c r="L36" s="238">
        <v>1</v>
      </c>
      <c r="M36" s="238"/>
      <c r="N36" s="238"/>
      <c r="O36" s="239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510">
        <f>COUNTA(D36:AC36)*21</f>
        <v>84</v>
      </c>
      <c r="AE36" s="511">
        <f t="shared" ref="AE36:AE46" si="11">COUNTA(D36:AC36)*21</f>
        <v>84</v>
      </c>
      <c r="AF36" s="511">
        <v>1040</v>
      </c>
      <c r="AG36" s="247"/>
      <c r="AH36" s="247">
        <f t="shared" ref="AH36:AH46" si="12">ROUNDUP(AF36/AE36,0)</f>
        <v>13</v>
      </c>
      <c r="AI36" s="247"/>
      <c r="AJ36" s="458">
        <v>516</v>
      </c>
      <c r="AK36" s="508">
        <f t="shared" ref="AK36:AK46" si="13">AD36*AG36*AI36</f>
        <v>0</v>
      </c>
      <c r="AL36" s="509">
        <f t="shared" ref="AL36:AL46" si="14">AF36*AJ36</f>
        <v>536640</v>
      </c>
      <c r="AM36" s="138"/>
    </row>
    <row r="37" spans="1:39" ht="12.95">
      <c r="A37" s="131" t="s">
        <v>328</v>
      </c>
      <c r="B37" s="648" t="s">
        <v>305</v>
      </c>
      <c r="C37" s="131" t="s">
        <v>307</v>
      </c>
      <c r="D37" s="237"/>
      <c r="E37" s="238"/>
      <c r="F37" s="238"/>
      <c r="G37" s="238"/>
      <c r="H37" s="238"/>
      <c r="I37" s="238">
        <v>1</v>
      </c>
      <c r="J37" s="238">
        <v>1</v>
      </c>
      <c r="K37" s="238">
        <v>1</v>
      </c>
      <c r="L37" s="238">
        <v>1</v>
      </c>
      <c r="M37" s="238"/>
      <c r="N37" s="238"/>
      <c r="O37" s="239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510">
        <f t="shared" ref="AD37:AD38" si="15">COUNTA(D37:AC37)*21</f>
        <v>84</v>
      </c>
      <c r="AE37" s="511">
        <f t="shared" si="11"/>
        <v>84</v>
      </c>
      <c r="AF37" s="511">
        <v>0</v>
      </c>
      <c r="AG37" s="247"/>
      <c r="AH37" s="247">
        <f t="shared" si="12"/>
        <v>0</v>
      </c>
      <c r="AI37" s="247"/>
      <c r="AJ37" s="458">
        <v>670</v>
      </c>
      <c r="AK37" s="508"/>
      <c r="AL37" s="509">
        <f t="shared" si="14"/>
        <v>0</v>
      </c>
      <c r="AM37" s="138"/>
    </row>
    <row r="38" spans="1:39" ht="12.95">
      <c r="A38" s="131" t="s">
        <v>328</v>
      </c>
      <c r="B38" s="648" t="s">
        <v>308</v>
      </c>
      <c r="C38" s="131" t="s">
        <v>307</v>
      </c>
      <c r="D38" s="237"/>
      <c r="E38" s="238"/>
      <c r="F38" s="238"/>
      <c r="G38" s="238"/>
      <c r="H38" s="238"/>
      <c r="I38" s="238">
        <v>1</v>
      </c>
      <c r="J38" s="238">
        <v>1</v>
      </c>
      <c r="K38" s="238">
        <v>1</v>
      </c>
      <c r="L38" s="238">
        <v>1</v>
      </c>
      <c r="M38" s="238"/>
      <c r="N38" s="238"/>
      <c r="O38" s="239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510">
        <f t="shared" si="15"/>
        <v>84</v>
      </c>
      <c r="AE38" s="511">
        <f t="shared" si="11"/>
        <v>84</v>
      </c>
      <c r="AF38" s="511">
        <v>0</v>
      </c>
      <c r="AG38" s="247"/>
      <c r="AH38" s="247">
        <f t="shared" si="12"/>
        <v>0</v>
      </c>
      <c r="AI38" s="247"/>
      <c r="AJ38" s="458">
        <v>670</v>
      </c>
      <c r="AK38" s="508"/>
      <c r="AL38" s="509">
        <f t="shared" si="14"/>
        <v>0</v>
      </c>
      <c r="AM38" s="138"/>
    </row>
    <row r="39" spans="1:39" ht="12.95">
      <c r="A39" s="131" t="s">
        <v>328</v>
      </c>
      <c r="B39" s="648" t="s">
        <v>311</v>
      </c>
      <c r="C39" s="131" t="s">
        <v>312</v>
      </c>
      <c r="D39" s="237"/>
      <c r="E39" s="238"/>
      <c r="F39" s="238"/>
      <c r="G39" s="238"/>
      <c r="H39" s="238"/>
      <c r="I39" s="238"/>
      <c r="J39" s="238"/>
      <c r="K39" s="238"/>
      <c r="L39" s="238"/>
      <c r="M39" s="238">
        <v>1</v>
      </c>
      <c r="N39" s="238">
        <v>1</v>
      </c>
      <c r="O39" s="239">
        <v>1</v>
      </c>
      <c r="P39" s="238">
        <v>1</v>
      </c>
      <c r="Q39" s="238">
        <v>1</v>
      </c>
      <c r="R39" s="238">
        <v>1</v>
      </c>
      <c r="S39" s="238">
        <v>1</v>
      </c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510">
        <f>COUNTA(D39:AC39)*21</f>
        <v>147</v>
      </c>
      <c r="AE39" s="511">
        <f t="shared" si="11"/>
        <v>147</v>
      </c>
      <c r="AF39" s="511">
        <v>1000</v>
      </c>
      <c r="AG39" s="247"/>
      <c r="AH39" s="247">
        <f t="shared" si="12"/>
        <v>7</v>
      </c>
      <c r="AI39" s="247"/>
      <c r="AJ39" s="458">
        <v>550</v>
      </c>
      <c r="AK39" s="508">
        <f t="shared" si="13"/>
        <v>0</v>
      </c>
      <c r="AL39" s="509">
        <f t="shared" si="14"/>
        <v>550000</v>
      </c>
      <c r="AM39" s="138"/>
    </row>
    <row r="40" spans="1:39" ht="12.95">
      <c r="A40" s="131" t="s">
        <v>328</v>
      </c>
      <c r="B40" s="648" t="s">
        <v>311</v>
      </c>
      <c r="C40" s="131" t="s">
        <v>326</v>
      </c>
      <c r="D40" s="237"/>
      <c r="E40" s="238"/>
      <c r="F40" s="238"/>
      <c r="G40" s="238"/>
      <c r="H40" s="238"/>
      <c r="I40" s="238"/>
      <c r="J40" s="238"/>
      <c r="K40" s="238"/>
      <c r="L40" s="238"/>
      <c r="M40" s="238">
        <v>1</v>
      </c>
      <c r="N40" s="238">
        <v>1</v>
      </c>
      <c r="O40" s="239">
        <v>1</v>
      </c>
      <c r="P40" s="238">
        <v>1</v>
      </c>
      <c r="Q40" s="238">
        <v>1</v>
      </c>
      <c r="R40" s="238">
        <v>1</v>
      </c>
      <c r="S40" s="238">
        <v>1</v>
      </c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510">
        <f>COUNTA(D40:AC40)*21</f>
        <v>147</v>
      </c>
      <c r="AE40" s="511">
        <f t="shared" si="11"/>
        <v>147</v>
      </c>
      <c r="AF40" s="511">
        <f>500+300</f>
        <v>800</v>
      </c>
      <c r="AG40" s="247"/>
      <c r="AH40" s="247">
        <f t="shared" si="12"/>
        <v>6</v>
      </c>
      <c r="AI40" s="247"/>
      <c r="AJ40" s="458">
        <v>550</v>
      </c>
      <c r="AK40" s="508"/>
      <c r="AL40" s="509">
        <f t="shared" si="14"/>
        <v>440000</v>
      </c>
      <c r="AM40" s="138"/>
    </row>
    <row r="41" spans="1:39" ht="12.95">
      <c r="A41" s="131" t="s">
        <v>328</v>
      </c>
      <c r="B41" s="648" t="s">
        <v>315</v>
      </c>
      <c r="C41" s="131" t="s">
        <v>316</v>
      </c>
      <c r="D41" s="237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9"/>
      <c r="P41" s="238"/>
      <c r="Q41" s="238">
        <v>1</v>
      </c>
      <c r="R41" s="238">
        <v>1</v>
      </c>
      <c r="S41" s="238">
        <v>1</v>
      </c>
      <c r="T41" s="238">
        <v>1</v>
      </c>
      <c r="U41" s="238">
        <v>1</v>
      </c>
      <c r="V41" s="238"/>
      <c r="W41" s="238"/>
      <c r="X41" s="238"/>
      <c r="Y41" s="238"/>
      <c r="Z41" s="238"/>
      <c r="AA41" s="238"/>
      <c r="AB41" s="238"/>
      <c r="AC41" s="238"/>
      <c r="AD41" s="510">
        <f>COUNTA(D41:AC41)*21</f>
        <v>105</v>
      </c>
      <c r="AE41" s="511">
        <f t="shared" si="11"/>
        <v>105</v>
      </c>
      <c r="AF41" s="511">
        <v>840</v>
      </c>
      <c r="AG41" s="247"/>
      <c r="AH41" s="247">
        <f t="shared" si="12"/>
        <v>8</v>
      </c>
      <c r="AI41" s="247"/>
      <c r="AJ41" s="458">
        <v>500</v>
      </c>
      <c r="AK41" s="508">
        <f t="shared" si="13"/>
        <v>0</v>
      </c>
      <c r="AL41" s="509">
        <f t="shared" si="14"/>
        <v>420000</v>
      </c>
      <c r="AM41" s="138"/>
    </row>
    <row r="42" spans="1:39" ht="12.95">
      <c r="A42" s="131" t="s">
        <v>328</v>
      </c>
      <c r="B42" s="648" t="s">
        <v>315</v>
      </c>
      <c r="C42" s="131" t="s">
        <v>321</v>
      </c>
      <c r="D42" s="237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9"/>
      <c r="P42" s="238"/>
      <c r="Q42" s="238">
        <v>1</v>
      </c>
      <c r="R42" s="238">
        <v>1</v>
      </c>
      <c r="S42" s="238">
        <v>1</v>
      </c>
      <c r="T42" s="238">
        <v>1</v>
      </c>
      <c r="U42" s="238">
        <v>1</v>
      </c>
      <c r="V42" s="238"/>
      <c r="W42" s="238"/>
      <c r="X42" s="238"/>
      <c r="Y42" s="238"/>
      <c r="Z42" s="238"/>
      <c r="AA42" s="238"/>
      <c r="AB42" s="238"/>
      <c r="AC42" s="238"/>
      <c r="AD42" s="510">
        <f t="shared" ref="AD42:AD44" si="16">COUNTA(D42:AC42)*21</f>
        <v>105</v>
      </c>
      <c r="AE42" s="511">
        <f t="shared" si="11"/>
        <v>105</v>
      </c>
      <c r="AF42" s="511">
        <v>400</v>
      </c>
      <c r="AG42" s="247"/>
      <c r="AH42" s="247">
        <f t="shared" si="12"/>
        <v>4</v>
      </c>
      <c r="AI42" s="247"/>
      <c r="AJ42" s="458">
        <v>500</v>
      </c>
      <c r="AK42" s="508"/>
      <c r="AL42" s="509">
        <f t="shared" si="14"/>
        <v>200000</v>
      </c>
      <c r="AM42" s="138"/>
    </row>
    <row r="43" spans="1:39" ht="12.95">
      <c r="A43" s="131" t="s">
        <v>328</v>
      </c>
      <c r="B43" s="648" t="s">
        <v>315</v>
      </c>
      <c r="C43" s="131" t="s">
        <v>306</v>
      </c>
      <c r="D43" s="237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9"/>
      <c r="P43" s="238"/>
      <c r="Q43" s="238">
        <v>1</v>
      </c>
      <c r="R43" s="238">
        <v>1</v>
      </c>
      <c r="S43" s="238">
        <v>1</v>
      </c>
      <c r="T43" s="238">
        <v>1</v>
      </c>
      <c r="U43" s="238">
        <v>1</v>
      </c>
      <c r="V43" s="238"/>
      <c r="W43" s="238"/>
      <c r="X43" s="238"/>
      <c r="Y43" s="238"/>
      <c r="Z43" s="238"/>
      <c r="AA43" s="238"/>
      <c r="AB43" s="238"/>
      <c r="AC43" s="238"/>
      <c r="AD43" s="510">
        <f t="shared" si="16"/>
        <v>105</v>
      </c>
      <c r="AE43" s="511">
        <f t="shared" si="11"/>
        <v>105</v>
      </c>
      <c r="AF43" s="511">
        <v>80</v>
      </c>
      <c r="AG43" s="247"/>
      <c r="AH43" s="247">
        <f t="shared" si="12"/>
        <v>1</v>
      </c>
      <c r="AI43" s="247"/>
      <c r="AJ43" s="458">
        <v>516</v>
      </c>
      <c r="AK43" s="508"/>
      <c r="AL43" s="509">
        <f>AF43*AJ43</f>
        <v>41280</v>
      </c>
      <c r="AM43" s="138"/>
    </row>
    <row r="44" spans="1:39" ht="12.95">
      <c r="A44" s="131" t="s">
        <v>328</v>
      </c>
      <c r="B44" s="648" t="s">
        <v>315</v>
      </c>
      <c r="C44" s="131" t="s">
        <v>326</v>
      </c>
      <c r="D44" s="237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9"/>
      <c r="P44" s="238"/>
      <c r="Q44" s="238">
        <v>1</v>
      </c>
      <c r="R44" s="238">
        <v>1</v>
      </c>
      <c r="S44" s="238">
        <v>1</v>
      </c>
      <c r="T44" s="238">
        <v>1</v>
      </c>
      <c r="U44" s="238">
        <v>1</v>
      </c>
      <c r="V44" s="238"/>
      <c r="W44" s="238"/>
      <c r="X44" s="238"/>
      <c r="Y44" s="238"/>
      <c r="Z44" s="238"/>
      <c r="AA44" s="238"/>
      <c r="AB44" s="238"/>
      <c r="AC44" s="238"/>
      <c r="AD44" s="510">
        <f t="shared" si="16"/>
        <v>105</v>
      </c>
      <c r="AE44" s="511">
        <f t="shared" si="11"/>
        <v>105</v>
      </c>
      <c r="AF44" s="511">
        <f>640+40</f>
        <v>680</v>
      </c>
      <c r="AG44" s="247"/>
      <c r="AH44" s="247">
        <f t="shared" si="12"/>
        <v>7</v>
      </c>
      <c r="AI44" s="247"/>
      <c r="AJ44" s="458">
        <v>550</v>
      </c>
      <c r="AK44" s="508"/>
      <c r="AL44" s="509">
        <f t="shared" si="14"/>
        <v>374000</v>
      </c>
      <c r="AM44" s="138"/>
    </row>
    <row r="45" spans="1:39" ht="12.95">
      <c r="A45" s="131" t="s">
        <v>328</v>
      </c>
      <c r="B45" s="648" t="s">
        <v>322</v>
      </c>
      <c r="C45" s="131" t="s">
        <v>323</v>
      </c>
      <c r="D45" s="237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9"/>
      <c r="P45" s="238"/>
      <c r="Q45" s="238"/>
      <c r="R45" s="238"/>
      <c r="S45" s="238"/>
      <c r="T45" s="238"/>
      <c r="U45" s="238"/>
      <c r="V45" s="238">
        <v>1</v>
      </c>
      <c r="W45" s="238">
        <v>1</v>
      </c>
      <c r="X45" s="238">
        <v>1</v>
      </c>
      <c r="Y45" s="238"/>
      <c r="Z45" s="238"/>
      <c r="AA45" s="238"/>
      <c r="AB45" s="238"/>
      <c r="AC45" s="238"/>
      <c r="AD45" s="510">
        <f>COUNTA(D45:AC45)*21</f>
        <v>63</v>
      </c>
      <c r="AE45" s="511">
        <f t="shared" si="11"/>
        <v>63</v>
      </c>
      <c r="AF45" s="511">
        <v>50</v>
      </c>
      <c r="AG45" s="247"/>
      <c r="AH45" s="247">
        <f t="shared" si="12"/>
        <v>1</v>
      </c>
      <c r="AI45" s="247"/>
      <c r="AJ45" s="458">
        <v>625</v>
      </c>
      <c r="AK45" s="508">
        <f t="shared" si="13"/>
        <v>0</v>
      </c>
      <c r="AL45" s="509">
        <f t="shared" si="14"/>
        <v>31250</v>
      </c>
      <c r="AM45" s="138"/>
    </row>
    <row r="46" spans="1:39" ht="12.95">
      <c r="A46" s="131" t="s">
        <v>328</v>
      </c>
      <c r="B46" s="648" t="s">
        <v>322</v>
      </c>
      <c r="C46" s="131" t="s">
        <v>320</v>
      </c>
      <c r="D46" s="237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9"/>
      <c r="P46" s="238"/>
      <c r="Q46" s="238"/>
      <c r="R46" s="238"/>
      <c r="S46" s="238"/>
      <c r="T46" s="238"/>
      <c r="U46" s="238"/>
      <c r="V46" s="238">
        <v>1</v>
      </c>
      <c r="W46" s="238">
        <v>1</v>
      </c>
      <c r="X46" s="238"/>
      <c r="Y46" s="238"/>
      <c r="Z46" s="238"/>
      <c r="AA46" s="238"/>
      <c r="AB46" s="238"/>
      <c r="AC46" s="238"/>
      <c r="AD46" s="510">
        <f>COUNTA(D46:AC46)*21</f>
        <v>42</v>
      </c>
      <c r="AE46" s="511">
        <f t="shared" si="11"/>
        <v>42</v>
      </c>
      <c r="AF46" s="511">
        <v>240</v>
      </c>
      <c r="AG46" s="247"/>
      <c r="AH46" s="247">
        <f t="shared" si="12"/>
        <v>6</v>
      </c>
      <c r="AI46" s="247"/>
      <c r="AJ46" s="458">
        <v>550</v>
      </c>
      <c r="AK46" s="508"/>
      <c r="AL46" s="509">
        <f t="shared" si="14"/>
        <v>132000</v>
      </c>
      <c r="AM46" s="138"/>
    </row>
    <row r="47" spans="1:39" ht="12.95">
      <c r="B47" s="251"/>
      <c r="D47" s="237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9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460"/>
      <c r="AE47" s="235"/>
      <c r="AF47" s="235"/>
      <c r="AG47" s="235"/>
      <c r="AH47" s="235"/>
      <c r="AI47" s="235"/>
      <c r="AJ47" s="459"/>
      <c r="AK47" s="508"/>
      <c r="AL47" s="509"/>
      <c r="AM47" s="138"/>
    </row>
    <row r="48" spans="1:39" ht="15">
      <c r="B48" s="591" t="s">
        <v>329</v>
      </c>
      <c r="C48" s="592"/>
      <c r="D48" s="237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9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628"/>
      <c r="AE48"/>
      <c r="AF48"/>
      <c r="AG48" s="629"/>
      <c r="AH48" s="629"/>
      <c r="AI48" s="629"/>
      <c r="AJ48" s="629"/>
      <c r="AK48" s="593"/>
      <c r="AL48" s="594">
        <f>SUM(AL49:AL59)</f>
        <v>2800130</v>
      </c>
      <c r="AM48" s="138"/>
    </row>
    <row r="49" spans="1:39" ht="12.95">
      <c r="A49" s="131" t="s">
        <v>330</v>
      </c>
      <c r="B49" s="648" t="s">
        <v>305</v>
      </c>
      <c r="C49" s="131" t="s">
        <v>306</v>
      </c>
      <c r="D49" s="237"/>
      <c r="E49" s="238"/>
      <c r="F49" s="238"/>
      <c r="G49" s="238"/>
      <c r="H49" s="238"/>
      <c r="I49" s="238">
        <v>1</v>
      </c>
      <c r="J49" s="238">
        <v>1</v>
      </c>
      <c r="K49" s="238">
        <v>1</v>
      </c>
      <c r="L49" s="238">
        <v>1</v>
      </c>
      <c r="M49" s="238">
        <v>1</v>
      </c>
      <c r="N49" s="238">
        <v>1</v>
      </c>
      <c r="O49" s="239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510">
        <f t="shared" ref="AD49:AD57" si="17">COUNTA(D49:AC49)*21</f>
        <v>126</v>
      </c>
      <c r="AE49" s="511">
        <f t="shared" ref="AE49:AE59" si="18">COUNTA(D49:AC49)*21</f>
        <v>126</v>
      </c>
      <c r="AF49" s="511">
        <v>1140</v>
      </c>
      <c r="AG49" s="247"/>
      <c r="AH49" s="247">
        <f t="shared" ref="AH49:AH59" si="19">ROUNDUP(AF49/AE49,0)</f>
        <v>10</v>
      </c>
      <c r="AI49" s="247"/>
      <c r="AJ49" s="458">
        <v>516</v>
      </c>
      <c r="AK49" s="508">
        <f t="shared" ref="AK49:AK59" si="20">AD49*AG49*AI49</f>
        <v>0</v>
      </c>
      <c r="AL49" s="509">
        <f>AF49*AJ49</f>
        <v>588240</v>
      </c>
      <c r="AM49" s="138"/>
    </row>
    <row r="50" spans="1:39" ht="12.95">
      <c r="A50" s="131" t="s">
        <v>330</v>
      </c>
      <c r="B50" s="648" t="s">
        <v>305</v>
      </c>
      <c r="C50" s="131" t="s">
        <v>307</v>
      </c>
      <c r="D50" s="237"/>
      <c r="E50" s="238"/>
      <c r="F50" s="238"/>
      <c r="G50" s="238"/>
      <c r="H50" s="238"/>
      <c r="I50" s="238">
        <v>1</v>
      </c>
      <c r="J50" s="238">
        <v>1</v>
      </c>
      <c r="K50" s="238">
        <v>1</v>
      </c>
      <c r="L50" s="238">
        <v>1</v>
      </c>
      <c r="M50" s="238">
        <v>1</v>
      </c>
      <c r="N50" s="238">
        <v>1</v>
      </c>
      <c r="O50" s="239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510">
        <f t="shared" si="17"/>
        <v>126</v>
      </c>
      <c r="AE50" s="511">
        <f t="shared" si="18"/>
        <v>126</v>
      </c>
      <c r="AF50" s="511">
        <v>0</v>
      </c>
      <c r="AG50" s="247"/>
      <c r="AH50" s="247">
        <f t="shared" si="19"/>
        <v>0</v>
      </c>
      <c r="AI50" s="247"/>
      <c r="AJ50" s="458">
        <v>670</v>
      </c>
      <c r="AK50" s="508"/>
      <c r="AL50" s="509">
        <f t="shared" ref="AL50:AL59" si="21">AF50*AJ50</f>
        <v>0</v>
      </c>
      <c r="AM50" s="138"/>
    </row>
    <row r="51" spans="1:39" ht="12.95">
      <c r="A51" s="131" t="s">
        <v>330</v>
      </c>
      <c r="B51" s="648" t="s">
        <v>308</v>
      </c>
      <c r="C51" s="131" t="s">
        <v>307</v>
      </c>
      <c r="D51" s="237"/>
      <c r="E51" s="238"/>
      <c r="F51" s="238"/>
      <c r="G51" s="238"/>
      <c r="H51" s="238"/>
      <c r="I51" s="238">
        <v>1</v>
      </c>
      <c r="J51" s="238">
        <v>1</v>
      </c>
      <c r="K51" s="238">
        <v>1</v>
      </c>
      <c r="L51" s="238">
        <v>1</v>
      </c>
      <c r="M51" s="238">
        <v>1</v>
      </c>
      <c r="N51" s="238">
        <v>1</v>
      </c>
      <c r="O51" s="239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510">
        <f t="shared" si="17"/>
        <v>126</v>
      </c>
      <c r="AE51" s="511">
        <f t="shared" si="18"/>
        <v>126</v>
      </c>
      <c r="AF51" s="511">
        <v>0</v>
      </c>
      <c r="AG51" s="247"/>
      <c r="AH51" s="247">
        <f t="shared" si="19"/>
        <v>0</v>
      </c>
      <c r="AI51" s="247"/>
      <c r="AJ51" s="458">
        <v>670</v>
      </c>
      <c r="AK51" s="508"/>
      <c r="AL51" s="509">
        <f t="shared" si="21"/>
        <v>0</v>
      </c>
      <c r="AM51" s="138"/>
    </row>
    <row r="52" spans="1:39" ht="12.95">
      <c r="A52" s="131" t="s">
        <v>330</v>
      </c>
      <c r="B52" s="648" t="s">
        <v>311</v>
      </c>
      <c r="C52" s="131" t="s">
        <v>312</v>
      </c>
      <c r="D52" s="237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9">
        <v>1</v>
      </c>
      <c r="P52" s="238">
        <v>1</v>
      </c>
      <c r="Q52" s="238">
        <v>1</v>
      </c>
      <c r="R52" s="238">
        <v>1</v>
      </c>
      <c r="S52" s="238">
        <v>1</v>
      </c>
      <c r="T52" s="238">
        <v>1</v>
      </c>
      <c r="U52" s="238">
        <v>1</v>
      </c>
      <c r="V52" s="238">
        <v>1</v>
      </c>
      <c r="W52" s="238">
        <v>1</v>
      </c>
      <c r="X52" s="238">
        <v>1</v>
      </c>
      <c r="Y52" s="238"/>
      <c r="Z52" s="238"/>
      <c r="AA52" s="238"/>
      <c r="AB52" s="238"/>
      <c r="AC52" s="238"/>
      <c r="AD52" s="510">
        <f t="shared" si="17"/>
        <v>210</v>
      </c>
      <c r="AE52" s="511">
        <f t="shared" si="18"/>
        <v>210</v>
      </c>
      <c r="AF52" s="511">
        <v>1400</v>
      </c>
      <c r="AG52" s="247"/>
      <c r="AH52" s="247">
        <f t="shared" si="19"/>
        <v>7</v>
      </c>
      <c r="AI52" s="247"/>
      <c r="AJ52" s="458">
        <v>550</v>
      </c>
      <c r="AK52" s="508">
        <f t="shared" si="20"/>
        <v>0</v>
      </c>
      <c r="AL52" s="509">
        <f t="shared" si="21"/>
        <v>770000</v>
      </c>
      <c r="AM52" s="138"/>
    </row>
    <row r="53" spans="1:39" ht="12.95">
      <c r="A53" s="131" t="s">
        <v>330</v>
      </c>
      <c r="B53" s="648" t="s">
        <v>311</v>
      </c>
      <c r="C53" s="131" t="s">
        <v>326</v>
      </c>
      <c r="D53" s="237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9">
        <v>1</v>
      </c>
      <c r="P53" s="238">
        <v>1</v>
      </c>
      <c r="Q53" s="238">
        <v>1</v>
      </c>
      <c r="R53" s="238">
        <v>1</v>
      </c>
      <c r="S53" s="238">
        <v>1</v>
      </c>
      <c r="T53" s="238">
        <v>1</v>
      </c>
      <c r="U53" s="238">
        <v>1</v>
      </c>
      <c r="V53" s="238">
        <v>1</v>
      </c>
      <c r="W53" s="238">
        <v>1</v>
      </c>
      <c r="X53" s="238"/>
      <c r="Y53" s="238"/>
      <c r="Z53" s="238"/>
      <c r="AA53" s="238"/>
      <c r="AB53" s="238"/>
      <c r="AC53" s="238"/>
      <c r="AD53" s="510">
        <f t="shared" si="17"/>
        <v>189</v>
      </c>
      <c r="AE53" s="511">
        <f t="shared" si="18"/>
        <v>189</v>
      </c>
      <c r="AF53" s="511">
        <v>600</v>
      </c>
      <c r="AG53" s="247"/>
      <c r="AH53" s="247">
        <f t="shared" si="19"/>
        <v>4</v>
      </c>
      <c r="AI53" s="247"/>
      <c r="AJ53" s="458">
        <v>550</v>
      </c>
      <c r="AK53" s="508"/>
      <c r="AL53" s="509">
        <f t="shared" si="21"/>
        <v>330000</v>
      </c>
      <c r="AM53" s="138"/>
    </row>
    <row r="54" spans="1:39" ht="12.95">
      <c r="A54" s="131" t="s">
        <v>330</v>
      </c>
      <c r="B54" s="648" t="s">
        <v>315</v>
      </c>
      <c r="C54" s="131" t="s">
        <v>316</v>
      </c>
      <c r="D54" s="237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9"/>
      <c r="P54" s="238"/>
      <c r="Q54" s="238"/>
      <c r="R54" s="238"/>
      <c r="S54" s="238"/>
      <c r="T54" s="238"/>
      <c r="U54" s="238"/>
      <c r="V54" s="238">
        <v>1</v>
      </c>
      <c r="W54" s="238">
        <v>1</v>
      </c>
      <c r="X54" s="238">
        <v>1</v>
      </c>
      <c r="Y54" s="238">
        <v>1</v>
      </c>
      <c r="Z54" s="238">
        <v>1</v>
      </c>
      <c r="AA54" s="238">
        <v>1</v>
      </c>
      <c r="AB54" s="238"/>
      <c r="AC54" s="238"/>
      <c r="AD54" s="510">
        <f t="shared" si="17"/>
        <v>126</v>
      </c>
      <c r="AE54" s="511">
        <f t="shared" si="18"/>
        <v>126</v>
      </c>
      <c r="AF54" s="511">
        <v>840</v>
      </c>
      <c r="AG54" s="247"/>
      <c r="AH54" s="247">
        <f t="shared" si="19"/>
        <v>7</v>
      </c>
      <c r="AI54" s="247"/>
      <c r="AJ54" s="458">
        <v>500</v>
      </c>
      <c r="AK54" s="508">
        <f t="shared" si="20"/>
        <v>0</v>
      </c>
      <c r="AL54" s="509">
        <f t="shared" si="21"/>
        <v>420000</v>
      </c>
      <c r="AM54" s="138"/>
    </row>
    <row r="55" spans="1:39" ht="12.95">
      <c r="A55" s="131" t="s">
        <v>330</v>
      </c>
      <c r="B55" s="648" t="s">
        <v>315</v>
      </c>
      <c r="C55" s="131" t="s">
        <v>321</v>
      </c>
      <c r="D55" s="237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9"/>
      <c r="P55" s="238"/>
      <c r="Q55" s="238"/>
      <c r="R55" s="238"/>
      <c r="S55" s="238"/>
      <c r="T55" s="238"/>
      <c r="U55" s="238"/>
      <c r="V55" s="238">
        <v>1</v>
      </c>
      <c r="W55" s="238">
        <v>1</v>
      </c>
      <c r="X55" s="238">
        <v>1</v>
      </c>
      <c r="Y55" s="238">
        <v>1</v>
      </c>
      <c r="Z55" s="238">
        <v>1</v>
      </c>
      <c r="AA55" s="238"/>
      <c r="AB55" s="238"/>
      <c r="AC55" s="238"/>
      <c r="AD55" s="510">
        <f t="shared" si="17"/>
        <v>105</v>
      </c>
      <c r="AE55" s="511">
        <f t="shared" si="18"/>
        <v>105</v>
      </c>
      <c r="AF55" s="511">
        <v>400</v>
      </c>
      <c r="AG55" s="247"/>
      <c r="AH55" s="247">
        <f t="shared" si="19"/>
        <v>4</v>
      </c>
      <c r="AI55" s="247"/>
      <c r="AJ55" s="458">
        <v>500</v>
      </c>
      <c r="AK55" s="508"/>
      <c r="AL55" s="509">
        <f t="shared" si="21"/>
        <v>200000</v>
      </c>
      <c r="AM55" s="138"/>
    </row>
    <row r="56" spans="1:39" ht="12.95">
      <c r="A56" s="131" t="s">
        <v>330</v>
      </c>
      <c r="B56" s="648" t="s">
        <v>315</v>
      </c>
      <c r="C56" s="131" t="s">
        <v>306</v>
      </c>
      <c r="D56" s="237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9"/>
      <c r="P56" s="238"/>
      <c r="Q56" s="238"/>
      <c r="R56" s="238"/>
      <c r="S56" s="238"/>
      <c r="T56" s="238"/>
      <c r="U56" s="238"/>
      <c r="V56" s="238">
        <v>1</v>
      </c>
      <c r="W56" s="238">
        <v>1</v>
      </c>
      <c r="X56" s="238">
        <v>1</v>
      </c>
      <c r="Y56" s="238">
        <v>1</v>
      </c>
      <c r="Z56" s="238">
        <v>1</v>
      </c>
      <c r="AA56" s="238"/>
      <c r="AB56" s="238"/>
      <c r="AC56" s="238"/>
      <c r="AD56" s="510">
        <f t="shared" si="17"/>
        <v>105</v>
      </c>
      <c r="AE56" s="511">
        <f t="shared" si="18"/>
        <v>105</v>
      </c>
      <c r="AF56" s="511">
        <v>40</v>
      </c>
      <c r="AG56" s="247"/>
      <c r="AH56" s="247">
        <f t="shared" si="19"/>
        <v>1</v>
      </c>
      <c r="AI56" s="247"/>
      <c r="AJ56" s="458">
        <v>516</v>
      </c>
      <c r="AK56" s="508"/>
      <c r="AL56" s="509">
        <f t="shared" si="21"/>
        <v>20640</v>
      </c>
      <c r="AM56" s="138"/>
    </row>
    <row r="57" spans="1:39" ht="12.95">
      <c r="A57" s="131" t="s">
        <v>330</v>
      </c>
      <c r="B57" s="648" t="s">
        <v>315</v>
      </c>
      <c r="C57" s="131" t="s">
        <v>326</v>
      </c>
      <c r="D57" s="237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9"/>
      <c r="P57" s="238"/>
      <c r="Q57" s="238"/>
      <c r="R57" s="238"/>
      <c r="S57" s="238"/>
      <c r="T57" s="238"/>
      <c r="U57" s="238"/>
      <c r="V57" s="238">
        <v>1</v>
      </c>
      <c r="W57" s="238">
        <v>1</v>
      </c>
      <c r="X57" s="238">
        <v>1</v>
      </c>
      <c r="Y57" s="238">
        <v>1</v>
      </c>
      <c r="Z57" s="238">
        <v>1</v>
      </c>
      <c r="AA57" s="238"/>
      <c r="AB57" s="238"/>
      <c r="AC57" s="238"/>
      <c r="AD57" s="510">
        <f t="shared" si="17"/>
        <v>105</v>
      </c>
      <c r="AE57" s="511">
        <f t="shared" si="18"/>
        <v>105</v>
      </c>
      <c r="AF57" s="511">
        <f>640+40</f>
        <v>680</v>
      </c>
      <c r="AG57" s="247"/>
      <c r="AH57" s="247">
        <f t="shared" si="19"/>
        <v>7</v>
      </c>
      <c r="AI57" s="247"/>
      <c r="AJ57" s="458">
        <v>550</v>
      </c>
      <c r="AK57" s="508"/>
      <c r="AL57" s="509">
        <f t="shared" si="21"/>
        <v>374000</v>
      </c>
      <c r="AM57" s="138"/>
    </row>
    <row r="58" spans="1:39" ht="12.95">
      <c r="A58" s="131" t="s">
        <v>330</v>
      </c>
      <c r="B58" s="648" t="s">
        <v>322</v>
      </c>
      <c r="C58" s="131" t="s">
        <v>323</v>
      </c>
      <c r="D58" s="237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9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>
        <v>1</v>
      </c>
      <c r="AC58" s="238">
        <v>1</v>
      </c>
      <c r="AD58" s="510">
        <f>COUNTA(D58:AC58)*21</f>
        <v>42</v>
      </c>
      <c r="AE58" s="511">
        <f t="shared" si="18"/>
        <v>42</v>
      </c>
      <c r="AF58" s="511">
        <v>50</v>
      </c>
      <c r="AG58" s="247"/>
      <c r="AH58" s="247">
        <f t="shared" si="19"/>
        <v>2</v>
      </c>
      <c r="AI58" s="247"/>
      <c r="AJ58" s="458">
        <v>625</v>
      </c>
      <c r="AK58" s="508">
        <f t="shared" si="20"/>
        <v>0</v>
      </c>
      <c r="AL58" s="509">
        <f t="shared" si="21"/>
        <v>31250</v>
      </c>
      <c r="AM58" s="138"/>
    </row>
    <row r="59" spans="1:39" ht="12.95">
      <c r="A59" s="131" t="s">
        <v>330</v>
      </c>
      <c r="B59" s="648" t="s">
        <v>322</v>
      </c>
      <c r="C59" s="131" t="s">
        <v>320</v>
      </c>
      <c r="D59" s="237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9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>
        <v>1</v>
      </c>
      <c r="AC59" s="238">
        <v>1</v>
      </c>
      <c r="AD59" s="510">
        <f>COUNTA(D59:AC59)*21</f>
        <v>42</v>
      </c>
      <c r="AE59" s="511">
        <f t="shared" si="18"/>
        <v>42</v>
      </c>
      <c r="AF59" s="511">
        <v>120</v>
      </c>
      <c r="AG59" s="247"/>
      <c r="AH59" s="247">
        <f t="shared" si="19"/>
        <v>3</v>
      </c>
      <c r="AI59" s="247"/>
      <c r="AJ59" s="458">
        <v>550</v>
      </c>
      <c r="AK59" s="508"/>
      <c r="AL59" s="509">
        <f t="shared" si="21"/>
        <v>66000</v>
      </c>
      <c r="AM59" s="138"/>
    </row>
    <row r="60" spans="1:39" ht="12.95">
      <c r="B60" s="251"/>
      <c r="D60" s="237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9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460"/>
      <c r="AE60" s="235"/>
      <c r="AF60" s="235"/>
      <c r="AG60" s="235"/>
      <c r="AH60" s="235"/>
      <c r="AI60" s="235"/>
      <c r="AJ60" s="459"/>
      <c r="AK60" s="508"/>
      <c r="AL60" s="509"/>
      <c r="AM60" s="138"/>
    </row>
    <row r="61" spans="1:39" ht="15">
      <c r="B61" s="591" t="s">
        <v>331</v>
      </c>
      <c r="C61" s="592"/>
      <c r="D61" s="237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9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628"/>
      <c r="AE61"/>
      <c r="AF61"/>
      <c r="AG61" s="629"/>
      <c r="AH61" s="629"/>
      <c r="AI61" s="629"/>
      <c r="AJ61" s="629"/>
      <c r="AK61" s="593"/>
      <c r="AL61" s="594">
        <f>SUM(AL62:AL70)</f>
        <v>841730</v>
      </c>
      <c r="AM61" s="138"/>
    </row>
    <row r="62" spans="1:39" ht="12.95">
      <c r="A62" s="131" t="s">
        <v>332</v>
      </c>
      <c r="B62" s="648" t="s">
        <v>305</v>
      </c>
      <c r="C62" s="131" t="s">
        <v>306</v>
      </c>
      <c r="D62" s="237"/>
      <c r="E62" s="238"/>
      <c r="F62" s="238">
        <v>1</v>
      </c>
      <c r="G62" s="238">
        <v>1</v>
      </c>
      <c r="H62" s="238">
        <v>1</v>
      </c>
      <c r="I62" s="238"/>
      <c r="J62" s="238"/>
      <c r="K62" s="238"/>
      <c r="L62" s="238"/>
      <c r="M62" s="238"/>
      <c r="N62" s="238"/>
      <c r="O62" s="239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510">
        <f>COUNTA(D62:AC62)*21</f>
        <v>63</v>
      </c>
      <c r="AE62" s="511">
        <f t="shared" ref="AE62:AE70" si="22">COUNTA(D62:AC62)*21</f>
        <v>63</v>
      </c>
      <c r="AF62" s="511">
        <v>200</v>
      </c>
      <c r="AG62" s="247"/>
      <c r="AH62" s="247">
        <f t="shared" ref="AH62:AH70" si="23">ROUNDUP(AF62/AE62,0)</f>
        <v>4</v>
      </c>
      <c r="AI62" s="247"/>
      <c r="AJ62" s="458">
        <v>516</v>
      </c>
      <c r="AK62" s="508">
        <f t="shared" ref="AK62:AK70" si="24">AD62*AG62*AI62</f>
        <v>0</v>
      </c>
      <c r="AL62" s="509">
        <f t="shared" ref="AL62:AL70" si="25">AF62*AJ62</f>
        <v>103200</v>
      </c>
      <c r="AM62" s="138"/>
    </row>
    <row r="63" spans="1:39" ht="12.95">
      <c r="A63" s="131" t="s">
        <v>332</v>
      </c>
      <c r="B63" s="648" t="s">
        <v>305</v>
      </c>
      <c r="C63" s="131" t="s">
        <v>307</v>
      </c>
      <c r="D63" s="237"/>
      <c r="E63" s="238"/>
      <c r="F63" s="238">
        <v>1</v>
      </c>
      <c r="G63" s="238">
        <v>1</v>
      </c>
      <c r="H63" s="238">
        <v>1</v>
      </c>
      <c r="I63" s="238"/>
      <c r="J63" s="238"/>
      <c r="K63" s="238"/>
      <c r="L63" s="238"/>
      <c r="M63" s="238"/>
      <c r="N63" s="238"/>
      <c r="O63" s="239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510">
        <f t="shared" ref="AD63:AD68" si="26">COUNTA(D63:AC63)*21</f>
        <v>63</v>
      </c>
      <c r="AE63" s="511">
        <f t="shared" si="22"/>
        <v>63</v>
      </c>
      <c r="AF63" s="511">
        <v>0</v>
      </c>
      <c r="AG63" s="247"/>
      <c r="AH63" s="247">
        <f t="shared" si="23"/>
        <v>0</v>
      </c>
      <c r="AI63" s="247"/>
      <c r="AJ63" s="458">
        <v>670</v>
      </c>
      <c r="AK63" s="508"/>
      <c r="AL63" s="509">
        <f t="shared" si="25"/>
        <v>0</v>
      </c>
      <c r="AM63" s="138"/>
    </row>
    <row r="64" spans="1:39" ht="12.95">
      <c r="A64" s="131" t="s">
        <v>332</v>
      </c>
      <c r="B64" s="648" t="s">
        <v>308</v>
      </c>
      <c r="C64" s="131" t="s">
        <v>307</v>
      </c>
      <c r="D64" s="237"/>
      <c r="E64" s="238"/>
      <c r="F64" s="238">
        <v>1</v>
      </c>
      <c r="G64" s="238">
        <v>1</v>
      </c>
      <c r="H64" s="238">
        <v>1</v>
      </c>
      <c r="I64" s="238"/>
      <c r="J64" s="238"/>
      <c r="K64" s="238"/>
      <c r="L64" s="238"/>
      <c r="M64" s="238"/>
      <c r="N64" s="238"/>
      <c r="O64" s="239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510">
        <f t="shared" si="26"/>
        <v>63</v>
      </c>
      <c r="AE64" s="511">
        <f t="shared" si="22"/>
        <v>63</v>
      </c>
      <c r="AF64" s="511">
        <v>0</v>
      </c>
      <c r="AG64" s="247"/>
      <c r="AH64" s="247">
        <f t="shared" si="23"/>
        <v>0</v>
      </c>
      <c r="AI64" s="247"/>
      <c r="AJ64" s="458">
        <v>670</v>
      </c>
      <c r="AK64" s="508"/>
      <c r="AL64" s="509">
        <f t="shared" si="25"/>
        <v>0</v>
      </c>
      <c r="AM64" s="138"/>
    </row>
    <row r="65" spans="1:39" ht="12.95">
      <c r="A65" s="131" t="s">
        <v>332</v>
      </c>
      <c r="B65" s="648" t="s">
        <v>311</v>
      </c>
      <c r="C65" s="131" t="s">
        <v>312</v>
      </c>
      <c r="D65" s="237"/>
      <c r="E65" s="238"/>
      <c r="F65" s="238"/>
      <c r="G65" s="238"/>
      <c r="H65" s="238"/>
      <c r="I65" s="238">
        <v>1</v>
      </c>
      <c r="J65" s="238">
        <v>1</v>
      </c>
      <c r="K65" s="238">
        <v>1</v>
      </c>
      <c r="L65" s="238">
        <v>1</v>
      </c>
      <c r="M65" s="238">
        <v>1</v>
      </c>
      <c r="N65" s="238"/>
      <c r="O65" s="239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510">
        <f t="shared" si="26"/>
        <v>105</v>
      </c>
      <c r="AE65" s="511">
        <f t="shared" si="22"/>
        <v>105</v>
      </c>
      <c r="AF65" s="511">
        <v>600</v>
      </c>
      <c r="AG65" s="247"/>
      <c r="AH65" s="247">
        <f t="shared" si="23"/>
        <v>6</v>
      </c>
      <c r="AI65" s="247"/>
      <c r="AJ65" s="458">
        <v>550</v>
      </c>
      <c r="AK65" s="508">
        <f t="shared" si="24"/>
        <v>0</v>
      </c>
      <c r="AL65" s="509">
        <f t="shared" si="25"/>
        <v>330000</v>
      </c>
      <c r="AM65" s="138"/>
    </row>
    <row r="66" spans="1:39" ht="12.95">
      <c r="A66" s="131" t="s">
        <v>332</v>
      </c>
      <c r="B66" s="648" t="s">
        <v>315</v>
      </c>
      <c r="C66" s="131" t="s">
        <v>316</v>
      </c>
      <c r="D66" s="237"/>
      <c r="E66" s="238"/>
      <c r="F66" s="238"/>
      <c r="G66" s="238"/>
      <c r="H66" s="238"/>
      <c r="I66" s="238"/>
      <c r="J66" s="238"/>
      <c r="K66" s="238"/>
      <c r="L66" s="238"/>
      <c r="M66" s="238">
        <v>1</v>
      </c>
      <c r="N66" s="238">
        <v>1</v>
      </c>
      <c r="O66" s="239">
        <v>1</v>
      </c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510">
        <f t="shared" si="26"/>
        <v>63</v>
      </c>
      <c r="AE66" s="511">
        <f t="shared" si="22"/>
        <v>63</v>
      </c>
      <c r="AF66" s="511">
        <v>320</v>
      </c>
      <c r="AG66" s="247"/>
      <c r="AH66" s="247">
        <f t="shared" si="23"/>
        <v>6</v>
      </c>
      <c r="AI66" s="247"/>
      <c r="AJ66" s="458">
        <v>500</v>
      </c>
      <c r="AK66" s="508">
        <f t="shared" si="24"/>
        <v>0</v>
      </c>
      <c r="AL66" s="509">
        <f t="shared" si="25"/>
        <v>160000</v>
      </c>
      <c r="AM66" s="138"/>
    </row>
    <row r="67" spans="1:39" ht="12.95">
      <c r="A67" s="131" t="s">
        <v>332</v>
      </c>
      <c r="B67" s="648" t="s">
        <v>315</v>
      </c>
      <c r="C67" s="131" t="s">
        <v>321</v>
      </c>
      <c r="D67" s="237"/>
      <c r="E67" s="238"/>
      <c r="F67" s="238"/>
      <c r="G67" s="238"/>
      <c r="H67" s="238"/>
      <c r="I67" s="238"/>
      <c r="J67" s="238"/>
      <c r="K67" s="238"/>
      <c r="L67" s="238"/>
      <c r="M67" s="238">
        <v>1</v>
      </c>
      <c r="N67" s="238">
        <v>1</v>
      </c>
      <c r="O67" s="239">
        <v>1</v>
      </c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510">
        <f t="shared" si="26"/>
        <v>63</v>
      </c>
      <c r="AE67" s="511">
        <f t="shared" si="22"/>
        <v>63</v>
      </c>
      <c r="AF67" s="511">
        <v>200</v>
      </c>
      <c r="AG67" s="247"/>
      <c r="AH67" s="247">
        <f t="shared" si="23"/>
        <v>4</v>
      </c>
      <c r="AI67" s="247"/>
      <c r="AJ67" s="458">
        <v>500</v>
      </c>
      <c r="AK67" s="508"/>
      <c r="AL67" s="509">
        <f t="shared" si="25"/>
        <v>100000</v>
      </c>
      <c r="AM67" s="138"/>
    </row>
    <row r="68" spans="1:39" ht="12.95">
      <c r="A68" s="131" t="s">
        <v>332</v>
      </c>
      <c r="B68" s="648" t="s">
        <v>317</v>
      </c>
      <c r="C68" s="131" t="s">
        <v>306</v>
      </c>
      <c r="D68" s="237"/>
      <c r="E68" s="238"/>
      <c r="F68" s="238"/>
      <c r="G68" s="238"/>
      <c r="H68" s="238"/>
      <c r="I68" s="238"/>
      <c r="J68" s="238"/>
      <c r="K68" s="238"/>
      <c r="L68" s="238"/>
      <c r="M68" s="238">
        <v>1</v>
      </c>
      <c r="N68" s="238">
        <v>1</v>
      </c>
      <c r="O68" s="239">
        <v>1</v>
      </c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510">
        <f t="shared" si="26"/>
        <v>63</v>
      </c>
      <c r="AE68" s="511">
        <f t="shared" si="22"/>
        <v>63</v>
      </c>
      <c r="AF68" s="511">
        <v>80</v>
      </c>
      <c r="AG68" s="247"/>
      <c r="AH68" s="247">
        <f t="shared" si="23"/>
        <v>2</v>
      </c>
      <c r="AI68" s="247"/>
      <c r="AJ68" s="458">
        <v>516</v>
      </c>
      <c r="AK68" s="508"/>
      <c r="AL68" s="509">
        <f t="shared" si="25"/>
        <v>41280</v>
      </c>
      <c r="AM68" s="138"/>
    </row>
    <row r="69" spans="1:39" ht="12.95">
      <c r="A69" s="131" t="s">
        <v>332</v>
      </c>
      <c r="B69" s="648" t="s">
        <v>322</v>
      </c>
      <c r="C69" s="131" t="s">
        <v>323</v>
      </c>
      <c r="D69" s="237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9"/>
      <c r="P69" s="238">
        <v>1</v>
      </c>
      <c r="Q69" s="238">
        <v>1</v>
      </c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510">
        <f>COUNTA(D69:AC69)*21</f>
        <v>42</v>
      </c>
      <c r="AE69" s="511">
        <f t="shared" si="22"/>
        <v>42</v>
      </c>
      <c r="AF69" s="511">
        <v>0</v>
      </c>
      <c r="AG69" s="247"/>
      <c r="AH69" s="247">
        <f t="shared" si="23"/>
        <v>0</v>
      </c>
      <c r="AI69" s="247"/>
      <c r="AJ69" s="458">
        <v>625</v>
      </c>
      <c r="AK69" s="508">
        <f t="shared" si="24"/>
        <v>0</v>
      </c>
      <c r="AL69" s="509">
        <f t="shared" si="25"/>
        <v>0</v>
      </c>
      <c r="AM69" s="138"/>
    </row>
    <row r="70" spans="1:39" ht="12.95">
      <c r="A70" s="131" t="s">
        <v>332</v>
      </c>
      <c r="B70" s="648" t="s">
        <v>322</v>
      </c>
      <c r="C70" s="131" t="s">
        <v>320</v>
      </c>
      <c r="D70" s="237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9"/>
      <c r="P70" s="238">
        <v>1</v>
      </c>
      <c r="Q70" s="238">
        <v>1</v>
      </c>
      <c r="R70" s="238"/>
      <c r="S70" s="238"/>
      <c r="T70" s="238"/>
      <c r="U70" s="238"/>
      <c r="V70" s="238"/>
      <c r="W70" s="238"/>
      <c r="X70" s="238"/>
      <c r="Y70" s="238"/>
      <c r="Z70" s="238"/>
      <c r="AA70" s="238"/>
      <c r="AB70" s="238"/>
      <c r="AC70" s="238"/>
      <c r="AD70" s="510">
        <f>COUNTA(D70:AC70)*21</f>
        <v>42</v>
      </c>
      <c r="AE70" s="511">
        <f t="shared" si="22"/>
        <v>42</v>
      </c>
      <c r="AF70" s="511">
        <f>780/4</f>
        <v>195</v>
      </c>
      <c r="AG70" s="247"/>
      <c r="AH70" s="247">
        <f t="shared" si="23"/>
        <v>5</v>
      </c>
      <c r="AI70" s="247"/>
      <c r="AJ70" s="458">
        <v>550</v>
      </c>
      <c r="AK70" s="508"/>
      <c r="AL70" s="509">
        <f t="shared" si="25"/>
        <v>107250</v>
      </c>
      <c r="AM70" s="138"/>
    </row>
    <row r="71" spans="1:39" ht="12.95">
      <c r="B71" s="251"/>
      <c r="D71" s="237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9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460"/>
      <c r="AE71" s="235"/>
      <c r="AF71" s="235"/>
      <c r="AG71" s="235"/>
      <c r="AH71" s="235"/>
      <c r="AI71" s="235"/>
      <c r="AJ71" s="459"/>
      <c r="AK71" s="508"/>
      <c r="AL71" s="509"/>
      <c r="AM71" s="138"/>
    </row>
    <row r="72" spans="1:39" ht="15">
      <c r="B72" s="591" t="s">
        <v>333</v>
      </c>
      <c r="C72" s="592"/>
      <c r="D72" s="237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9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628"/>
      <c r="AE72"/>
      <c r="AF72"/>
      <c r="AG72" s="629"/>
      <c r="AH72" s="629"/>
      <c r="AI72" s="629"/>
      <c r="AJ72" s="629"/>
      <c r="AK72" s="593"/>
      <c r="AL72" s="594">
        <f>SUM(AL73:AL82)</f>
        <v>794930</v>
      </c>
      <c r="AM72" s="138"/>
    </row>
    <row r="73" spans="1:39" ht="12.95">
      <c r="A73" s="131" t="s">
        <v>334</v>
      </c>
      <c r="B73" s="648" t="s">
        <v>305</v>
      </c>
      <c r="C73" s="131" t="s">
        <v>306</v>
      </c>
      <c r="D73" s="237"/>
      <c r="E73" s="238"/>
      <c r="F73" s="238"/>
      <c r="G73" s="238"/>
      <c r="H73" s="238"/>
      <c r="I73" s="238"/>
      <c r="J73" s="238"/>
      <c r="K73" s="238"/>
      <c r="L73" s="238"/>
      <c r="M73" s="238"/>
      <c r="N73" s="238">
        <v>1</v>
      </c>
      <c r="O73" s="239">
        <v>1</v>
      </c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510">
        <f>COUNTA(D73:AC73)*21</f>
        <v>42</v>
      </c>
      <c r="AE73" s="511">
        <f t="shared" ref="AE73:AE82" si="27">COUNTA(D73:AC73)*21</f>
        <v>42</v>
      </c>
      <c r="AF73" s="511">
        <v>400</v>
      </c>
      <c r="AG73" s="247"/>
      <c r="AH73" s="247">
        <f t="shared" ref="AH73:AH82" si="28">ROUNDUP(AF73/AE73,0)</f>
        <v>10</v>
      </c>
      <c r="AI73" s="247"/>
      <c r="AJ73" s="458">
        <v>516</v>
      </c>
      <c r="AK73" s="508">
        <f t="shared" ref="AK73:AK82" si="29">AD73*AG73*AI73</f>
        <v>0</v>
      </c>
      <c r="AL73" s="509">
        <f t="shared" ref="AL73:AL82" si="30">AF73*AJ73</f>
        <v>206400</v>
      </c>
      <c r="AM73" s="138"/>
    </row>
    <row r="74" spans="1:39" ht="12.95">
      <c r="A74" s="131" t="s">
        <v>334</v>
      </c>
      <c r="B74" s="648" t="s">
        <v>305</v>
      </c>
      <c r="C74" s="131" t="s">
        <v>307</v>
      </c>
      <c r="D74" s="237"/>
      <c r="E74" s="238"/>
      <c r="F74" s="238"/>
      <c r="G74" s="238"/>
      <c r="H74" s="238"/>
      <c r="I74" s="238"/>
      <c r="J74" s="238"/>
      <c r="K74" s="238"/>
      <c r="L74" s="238"/>
      <c r="M74" s="238"/>
      <c r="N74" s="238">
        <v>1</v>
      </c>
      <c r="O74" s="239">
        <v>1</v>
      </c>
      <c r="P74" s="238"/>
      <c r="Q74" s="238"/>
      <c r="R74" s="238"/>
      <c r="S74" s="238"/>
      <c r="T74" s="238"/>
      <c r="U74" s="238"/>
      <c r="V74" s="238"/>
      <c r="W74" s="238"/>
      <c r="X74" s="238"/>
      <c r="Y74" s="238"/>
      <c r="Z74" s="238"/>
      <c r="AA74" s="238"/>
      <c r="AB74" s="238"/>
      <c r="AC74" s="238"/>
      <c r="AD74" s="510">
        <f>COUNTA(D74:AC74)*21</f>
        <v>42</v>
      </c>
      <c r="AE74" s="511">
        <f t="shared" si="27"/>
        <v>42</v>
      </c>
      <c r="AF74" s="511">
        <v>0</v>
      </c>
      <c r="AG74" s="247"/>
      <c r="AH74" s="247">
        <f t="shared" si="28"/>
        <v>0</v>
      </c>
      <c r="AI74" s="247"/>
      <c r="AJ74" s="458">
        <v>670</v>
      </c>
      <c r="AK74" s="508"/>
      <c r="AL74" s="509">
        <f t="shared" si="30"/>
        <v>0</v>
      </c>
      <c r="AM74" s="138"/>
    </row>
    <row r="75" spans="1:39" ht="12.95">
      <c r="A75" s="131" t="s">
        <v>334</v>
      </c>
      <c r="B75" s="648" t="s">
        <v>308</v>
      </c>
      <c r="C75" s="131" t="s">
        <v>307</v>
      </c>
      <c r="D75" s="237"/>
      <c r="E75" s="238"/>
      <c r="F75" s="238"/>
      <c r="G75" s="238"/>
      <c r="H75" s="238"/>
      <c r="I75" s="238"/>
      <c r="J75" s="238"/>
      <c r="K75" s="238"/>
      <c r="L75" s="238"/>
      <c r="M75" s="238"/>
      <c r="N75" s="238">
        <v>1</v>
      </c>
      <c r="O75" s="239">
        <v>1</v>
      </c>
      <c r="P75" s="238"/>
      <c r="Q75" s="238"/>
      <c r="R75" s="238"/>
      <c r="S75" s="238"/>
      <c r="T75" s="238"/>
      <c r="U75" s="238"/>
      <c r="V75" s="238"/>
      <c r="W75" s="238"/>
      <c r="X75" s="238"/>
      <c r="Y75" s="238"/>
      <c r="Z75" s="238"/>
      <c r="AA75" s="238"/>
      <c r="AB75" s="238"/>
      <c r="AC75" s="238"/>
      <c r="AD75" s="510">
        <f>COUNTA(D75:AC75)*21</f>
        <v>42</v>
      </c>
      <c r="AE75" s="511">
        <f t="shared" si="27"/>
        <v>42</v>
      </c>
      <c r="AF75" s="511">
        <v>0</v>
      </c>
      <c r="AG75" s="247"/>
      <c r="AH75" s="247">
        <f t="shared" si="28"/>
        <v>0</v>
      </c>
      <c r="AI75" s="247"/>
      <c r="AJ75" s="458">
        <v>670</v>
      </c>
      <c r="AK75" s="508"/>
      <c r="AL75" s="509">
        <f t="shared" si="30"/>
        <v>0</v>
      </c>
      <c r="AM75" s="138"/>
    </row>
    <row r="76" spans="1:39" ht="12.95">
      <c r="A76" s="131" t="s">
        <v>334</v>
      </c>
      <c r="B76" s="648" t="s">
        <v>311</v>
      </c>
      <c r="C76" s="131" t="s">
        <v>312</v>
      </c>
      <c r="D76" s="237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9"/>
      <c r="P76" s="238">
        <v>1</v>
      </c>
      <c r="Q76" s="238">
        <v>1</v>
      </c>
      <c r="R76" s="238">
        <v>1</v>
      </c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510">
        <f>COUNTA(D76:AC76)*21</f>
        <v>63</v>
      </c>
      <c r="AE76" s="511">
        <f t="shared" si="27"/>
        <v>63</v>
      </c>
      <c r="AF76" s="511">
        <v>800</v>
      </c>
      <c r="AG76" s="247"/>
      <c r="AH76" s="247">
        <f t="shared" si="28"/>
        <v>13</v>
      </c>
      <c r="AI76" s="247"/>
      <c r="AJ76" s="458">
        <v>550</v>
      </c>
      <c r="AK76" s="508">
        <f t="shared" si="29"/>
        <v>0</v>
      </c>
      <c r="AL76" s="509">
        <f t="shared" si="30"/>
        <v>440000</v>
      </c>
      <c r="AM76" s="138"/>
    </row>
    <row r="77" spans="1:39" ht="12.95">
      <c r="A77" s="131" t="s">
        <v>334</v>
      </c>
      <c r="B77" s="648" t="s">
        <v>315</v>
      </c>
      <c r="C77" s="131" t="s">
        <v>316</v>
      </c>
      <c r="D77" s="237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9"/>
      <c r="P77" s="238"/>
      <c r="Q77" s="238"/>
      <c r="R77" s="238">
        <v>1</v>
      </c>
      <c r="S77" s="238">
        <v>1</v>
      </c>
      <c r="T77" s="238">
        <v>1</v>
      </c>
      <c r="U77" s="238">
        <v>1</v>
      </c>
      <c r="V77" s="238"/>
      <c r="W77" s="238"/>
      <c r="X77" s="238"/>
      <c r="Y77" s="238"/>
      <c r="Z77" s="238"/>
      <c r="AA77" s="238"/>
      <c r="AB77" s="238"/>
      <c r="AC77" s="238"/>
      <c r="AD77" s="510">
        <f>COUNTA(D77:AC77)*21</f>
        <v>84</v>
      </c>
      <c r="AE77" s="511">
        <f t="shared" si="27"/>
        <v>84</v>
      </c>
      <c r="AF77" s="511">
        <v>0</v>
      </c>
      <c r="AG77" s="247"/>
      <c r="AH77" s="247">
        <f t="shared" si="28"/>
        <v>0</v>
      </c>
      <c r="AI77" s="247"/>
      <c r="AJ77" s="458">
        <v>500</v>
      </c>
      <c r="AK77" s="508">
        <f t="shared" si="29"/>
        <v>0</v>
      </c>
      <c r="AL77" s="509">
        <f t="shared" si="30"/>
        <v>0</v>
      </c>
      <c r="AM77" s="138"/>
    </row>
    <row r="78" spans="1:39" ht="12.95">
      <c r="A78" s="131" t="s">
        <v>334</v>
      </c>
      <c r="B78" s="648" t="s">
        <v>335</v>
      </c>
      <c r="C78" s="131" t="s">
        <v>321</v>
      </c>
      <c r="D78" s="237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9"/>
      <c r="P78" s="238"/>
      <c r="Q78" s="238"/>
      <c r="R78" s="238">
        <v>1</v>
      </c>
      <c r="S78" s="238">
        <v>1</v>
      </c>
      <c r="T78" s="238">
        <v>1</v>
      </c>
      <c r="U78" s="238">
        <v>1</v>
      </c>
      <c r="V78" s="238"/>
      <c r="W78" s="238"/>
      <c r="X78" s="238"/>
      <c r="Y78" s="238"/>
      <c r="Z78" s="238"/>
      <c r="AA78" s="238"/>
      <c r="AB78" s="238"/>
      <c r="AC78" s="238"/>
      <c r="AD78" s="510">
        <f t="shared" ref="AD78:AD80" si="31">COUNTA(D78:AC78)*21</f>
        <v>84</v>
      </c>
      <c r="AE78" s="511">
        <f t="shared" si="27"/>
        <v>84</v>
      </c>
      <c r="AF78" s="511">
        <v>0</v>
      </c>
      <c r="AG78" s="247"/>
      <c r="AH78" s="247">
        <f t="shared" si="28"/>
        <v>0</v>
      </c>
      <c r="AI78" s="247"/>
      <c r="AJ78" s="458">
        <v>500</v>
      </c>
      <c r="AK78" s="508"/>
      <c r="AL78" s="509">
        <f t="shared" si="30"/>
        <v>0</v>
      </c>
      <c r="AM78" s="138"/>
    </row>
    <row r="79" spans="1:39" ht="12.95">
      <c r="A79" s="131" t="s">
        <v>334</v>
      </c>
      <c r="B79" s="648" t="s">
        <v>317</v>
      </c>
      <c r="C79" s="131" t="s">
        <v>306</v>
      </c>
      <c r="D79" s="237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9"/>
      <c r="P79" s="238"/>
      <c r="Q79" s="238"/>
      <c r="R79" s="238">
        <v>1</v>
      </c>
      <c r="S79" s="238">
        <v>1</v>
      </c>
      <c r="T79" s="238">
        <v>1</v>
      </c>
      <c r="U79" s="238">
        <v>1</v>
      </c>
      <c r="V79" s="238"/>
      <c r="W79" s="238"/>
      <c r="X79" s="238"/>
      <c r="Y79" s="238"/>
      <c r="Z79" s="238"/>
      <c r="AA79" s="238"/>
      <c r="AB79" s="238"/>
      <c r="AC79" s="238"/>
      <c r="AD79" s="510">
        <f t="shared" si="31"/>
        <v>84</v>
      </c>
      <c r="AE79" s="511">
        <f t="shared" si="27"/>
        <v>84</v>
      </c>
      <c r="AF79" s="511">
        <v>80</v>
      </c>
      <c r="AG79" s="247"/>
      <c r="AH79" s="247">
        <f t="shared" si="28"/>
        <v>1</v>
      </c>
      <c r="AI79" s="247"/>
      <c r="AJ79" s="649">
        <v>516</v>
      </c>
      <c r="AK79" s="508"/>
      <c r="AL79" s="509">
        <f t="shared" si="30"/>
        <v>41280</v>
      </c>
      <c r="AM79" s="138"/>
    </row>
    <row r="80" spans="1:39" ht="12.95">
      <c r="A80" s="131" t="s">
        <v>334</v>
      </c>
      <c r="B80" s="648" t="s">
        <v>315</v>
      </c>
      <c r="C80" s="131" t="s">
        <v>316</v>
      </c>
      <c r="D80" s="237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9"/>
      <c r="P80" s="238"/>
      <c r="Q80" s="238"/>
      <c r="R80" s="238">
        <v>1</v>
      </c>
      <c r="S80" s="238">
        <v>1</v>
      </c>
      <c r="T80" s="238">
        <v>1</v>
      </c>
      <c r="U80" s="238">
        <v>1</v>
      </c>
      <c r="V80" s="238"/>
      <c r="W80" s="238"/>
      <c r="X80" s="238"/>
      <c r="Y80" s="238"/>
      <c r="Z80" s="238"/>
      <c r="AA80" s="238"/>
      <c r="AB80" s="238"/>
      <c r="AC80" s="238"/>
      <c r="AD80" s="510">
        <f t="shared" si="31"/>
        <v>84</v>
      </c>
      <c r="AE80" s="511">
        <f t="shared" si="27"/>
        <v>84</v>
      </c>
      <c r="AF80" s="511">
        <v>0</v>
      </c>
      <c r="AG80" s="247"/>
      <c r="AH80" s="247">
        <f t="shared" si="28"/>
        <v>0</v>
      </c>
      <c r="AI80" s="247"/>
      <c r="AJ80" s="458">
        <v>500</v>
      </c>
      <c r="AK80" s="508"/>
      <c r="AL80" s="509">
        <f t="shared" si="30"/>
        <v>0</v>
      </c>
      <c r="AM80" s="138"/>
    </row>
    <row r="81" spans="1:40" ht="12.95">
      <c r="A81" s="131" t="s">
        <v>334</v>
      </c>
      <c r="B81" s="648" t="s">
        <v>322</v>
      </c>
      <c r="C81" s="131" t="s">
        <v>323</v>
      </c>
      <c r="D81" s="237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9"/>
      <c r="P81" s="238"/>
      <c r="Q81" s="238"/>
      <c r="R81" s="238"/>
      <c r="S81" s="238"/>
      <c r="T81" s="238"/>
      <c r="U81" s="238"/>
      <c r="V81" s="238">
        <v>1</v>
      </c>
      <c r="W81" s="238">
        <v>1</v>
      </c>
      <c r="X81" s="238"/>
      <c r="Y81" s="238"/>
      <c r="Z81" s="238"/>
      <c r="AA81" s="238"/>
      <c r="AB81" s="238"/>
      <c r="AC81" s="238"/>
      <c r="AD81" s="510">
        <f>COUNTA(D81:AC81)*21</f>
        <v>42</v>
      </c>
      <c r="AE81" s="511">
        <f t="shared" si="27"/>
        <v>42</v>
      </c>
      <c r="AF81" s="511">
        <v>0</v>
      </c>
      <c r="AG81" s="247"/>
      <c r="AH81" s="247">
        <f t="shared" si="28"/>
        <v>0</v>
      </c>
      <c r="AI81" s="247"/>
      <c r="AJ81" s="458">
        <v>625</v>
      </c>
      <c r="AK81" s="508">
        <f t="shared" si="29"/>
        <v>0</v>
      </c>
      <c r="AL81" s="509">
        <f t="shared" si="30"/>
        <v>0</v>
      </c>
      <c r="AM81" s="138"/>
    </row>
    <row r="82" spans="1:40" ht="12.95">
      <c r="A82" s="131" t="s">
        <v>334</v>
      </c>
      <c r="B82" s="648" t="s">
        <v>322</v>
      </c>
      <c r="C82" s="131" t="s">
        <v>320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9"/>
      <c r="P82" s="238"/>
      <c r="Q82" s="238"/>
      <c r="R82" s="238"/>
      <c r="S82" s="238"/>
      <c r="T82" s="238"/>
      <c r="U82" s="238"/>
      <c r="V82" s="238">
        <v>1</v>
      </c>
      <c r="W82" s="238">
        <v>1</v>
      </c>
      <c r="X82" s="238"/>
      <c r="Y82" s="238"/>
      <c r="Z82" s="238"/>
      <c r="AA82" s="238"/>
      <c r="AB82" s="238"/>
      <c r="AC82" s="238"/>
      <c r="AD82" s="510">
        <f>COUNTA(D82:AC82)*21</f>
        <v>42</v>
      </c>
      <c r="AE82" s="511">
        <f t="shared" si="27"/>
        <v>42</v>
      </c>
      <c r="AF82" s="511">
        <f>780/4</f>
        <v>195</v>
      </c>
      <c r="AG82" s="247"/>
      <c r="AH82" s="247">
        <f t="shared" si="28"/>
        <v>5</v>
      </c>
      <c r="AI82" s="247"/>
      <c r="AJ82" s="458">
        <v>550</v>
      </c>
      <c r="AK82" s="508"/>
      <c r="AL82" s="509">
        <f t="shared" si="30"/>
        <v>107250</v>
      </c>
      <c r="AM82" s="138"/>
    </row>
    <row r="83" spans="1:40" ht="12.95">
      <c r="B83" s="251"/>
      <c r="D83" s="237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9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460"/>
      <c r="AE83" s="235"/>
      <c r="AF83" s="235"/>
      <c r="AG83" s="235"/>
      <c r="AH83" s="235"/>
      <c r="AI83" s="235"/>
      <c r="AJ83" s="459"/>
      <c r="AK83" s="508"/>
      <c r="AL83" s="509"/>
      <c r="AM83" s="138"/>
    </row>
    <row r="84" spans="1:40" ht="15">
      <c r="B84" s="591" t="s">
        <v>336</v>
      </c>
      <c r="C84" s="592"/>
      <c r="D84" s="237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9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628"/>
      <c r="AE84"/>
      <c r="AF84"/>
      <c r="AG84" s="629"/>
      <c r="AH84" s="629"/>
      <c r="AI84" s="629"/>
      <c r="AJ84" s="629"/>
      <c r="AK84" s="593"/>
      <c r="AL84" s="594">
        <f>SUM(AL85:AL93)</f>
        <v>904930</v>
      </c>
      <c r="AM84" s="138"/>
    </row>
    <row r="85" spans="1:40" ht="12.95">
      <c r="A85" s="131" t="s">
        <v>337</v>
      </c>
      <c r="B85" s="648" t="s">
        <v>305</v>
      </c>
      <c r="C85" s="131" t="s">
        <v>306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9"/>
      <c r="P85" s="238"/>
      <c r="Q85" s="238">
        <v>1</v>
      </c>
      <c r="R85" s="238">
        <v>1</v>
      </c>
      <c r="S85" s="238">
        <v>1</v>
      </c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510">
        <f t="shared" ref="AD85:AD93" si="32">COUNTA(D85:AC85)*21</f>
        <v>63</v>
      </c>
      <c r="AE85" s="511">
        <f t="shared" ref="AE85:AE93" si="33">COUNTA(D85:AC85)*21</f>
        <v>63</v>
      </c>
      <c r="AF85" s="511">
        <v>400</v>
      </c>
      <c r="AG85" s="247"/>
      <c r="AH85" s="247">
        <f t="shared" ref="AH85:AH93" si="34">ROUNDUP(AF85/AE85,0)</f>
        <v>7</v>
      </c>
      <c r="AI85" s="247"/>
      <c r="AJ85" s="458">
        <v>516</v>
      </c>
      <c r="AK85" s="508">
        <f t="shared" ref="AK85:AK93" si="35">AD85*AG85*AI85</f>
        <v>0</v>
      </c>
      <c r="AL85" s="509">
        <f t="shared" ref="AL85:AL93" si="36">AF85*AJ85</f>
        <v>206400</v>
      </c>
      <c r="AM85" s="138"/>
    </row>
    <row r="86" spans="1:40" ht="12.95">
      <c r="A86" s="131" t="s">
        <v>337</v>
      </c>
      <c r="B86" s="648" t="s">
        <v>305</v>
      </c>
      <c r="C86" s="131" t="s">
        <v>307</v>
      </c>
      <c r="D86" s="237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9"/>
      <c r="P86" s="238"/>
      <c r="Q86" s="238">
        <v>1</v>
      </c>
      <c r="R86" s="238">
        <v>1</v>
      </c>
      <c r="S86" s="238">
        <v>1</v>
      </c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510">
        <f t="shared" si="32"/>
        <v>63</v>
      </c>
      <c r="AE86" s="511">
        <f t="shared" si="33"/>
        <v>63</v>
      </c>
      <c r="AF86" s="511">
        <v>0</v>
      </c>
      <c r="AG86" s="247"/>
      <c r="AH86" s="247">
        <f t="shared" si="34"/>
        <v>0</v>
      </c>
      <c r="AI86" s="247"/>
      <c r="AJ86" s="458">
        <v>670</v>
      </c>
      <c r="AK86" s="508"/>
      <c r="AL86" s="509">
        <f t="shared" si="36"/>
        <v>0</v>
      </c>
      <c r="AM86" s="138"/>
    </row>
    <row r="87" spans="1:40" ht="12.95">
      <c r="A87" s="131" t="s">
        <v>337</v>
      </c>
      <c r="B87" s="648" t="s">
        <v>308</v>
      </c>
      <c r="C87" s="131" t="s">
        <v>307</v>
      </c>
      <c r="D87" s="237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9"/>
      <c r="P87" s="238"/>
      <c r="Q87" s="238">
        <v>1</v>
      </c>
      <c r="R87" s="238">
        <v>1</v>
      </c>
      <c r="S87" s="238">
        <v>1</v>
      </c>
      <c r="T87" s="238"/>
      <c r="U87" s="238"/>
      <c r="V87" s="238"/>
      <c r="W87" s="238"/>
      <c r="X87" s="238"/>
      <c r="Y87" s="238"/>
      <c r="Z87" s="238"/>
      <c r="AA87" s="238"/>
      <c r="AB87" s="238"/>
      <c r="AC87" s="238"/>
      <c r="AD87" s="510">
        <f t="shared" si="32"/>
        <v>63</v>
      </c>
      <c r="AE87" s="511">
        <f t="shared" si="33"/>
        <v>63</v>
      </c>
      <c r="AF87" s="511">
        <v>0</v>
      </c>
      <c r="AG87" s="247"/>
      <c r="AH87" s="247">
        <f t="shared" si="34"/>
        <v>0</v>
      </c>
      <c r="AI87" s="247"/>
      <c r="AJ87" s="458">
        <v>670</v>
      </c>
      <c r="AK87" s="508"/>
      <c r="AL87" s="509">
        <f t="shared" si="36"/>
        <v>0</v>
      </c>
      <c r="AM87" s="138"/>
    </row>
    <row r="88" spans="1:40" ht="12.95">
      <c r="A88" s="131" t="s">
        <v>337</v>
      </c>
      <c r="B88" s="648" t="s">
        <v>311</v>
      </c>
      <c r="C88" s="131" t="s">
        <v>312</v>
      </c>
      <c r="D88" s="237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9"/>
      <c r="P88" s="238"/>
      <c r="Q88" s="238"/>
      <c r="R88" s="238"/>
      <c r="S88" s="238"/>
      <c r="T88" s="238">
        <v>1</v>
      </c>
      <c r="U88" s="238">
        <v>1</v>
      </c>
      <c r="V88" s="238">
        <v>1</v>
      </c>
      <c r="W88" s="238">
        <v>1</v>
      </c>
      <c r="X88" s="238"/>
      <c r="Y88" s="238"/>
      <c r="Z88" s="238"/>
      <c r="AA88" s="238"/>
      <c r="AB88" s="238"/>
      <c r="AC88" s="238"/>
      <c r="AD88" s="510">
        <f t="shared" si="32"/>
        <v>84</v>
      </c>
      <c r="AE88" s="511">
        <f t="shared" si="33"/>
        <v>84</v>
      </c>
      <c r="AF88" s="511">
        <v>1000</v>
      </c>
      <c r="AG88" s="247"/>
      <c r="AH88" s="247">
        <f t="shared" si="34"/>
        <v>12</v>
      </c>
      <c r="AI88" s="247"/>
      <c r="AJ88" s="458">
        <v>550</v>
      </c>
      <c r="AK88" s="508">
        <f t="shared" si="35"/>
        <v>0</v>
      </c>
      <c r="AL88" s="509">
        <f t="shared" si="36"/>
        <v>550000</v>
      </c>
      <c r="AM88" s="138"/>
    </row>
    <row r="89" spans="1:40" ht="12.95">
      <c r="A89" s="131" t="s">
        <v>337</v>
      </c>
      <c r="B89" s="648" t="s">
        <v>315</v>
      </c>
      <c r="C89" s="131" t="s">
        <v>316</v>
      </c>
      <c r="D89" s="237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9"/>
      <c r="P89" s="238"/>
      <c r="Q89" s="238"/>
      <c r="R89" s="238"/>
      <c r="S89" s="238"/>
      <c r="T89" s="238"/>
      <c r="U89" s="238"/>
      <c r="V89" s="238"/>
      <c r="W89" s="238">
        <v>1</v>
      </c>
      <c r="X89" s="238">
        <v>1</v>
      </c>
      <c r="Y89" s="238">
        <v>1</v>
      </c>
      <c r="Z89" s="238">
        <v>1</v>
      </c>
      <c r="AA89" s="238">
        <v>1</v>
      </c>
      <c r="AB89" s="238"/>
      <c r="AC89" s="238"/>
      <c r="AD89" s="510">
        <f t="shared" si="32"/>
        <v>105</v>
      </c>
      <c r="AE89" s="511">
        <f t="shared" si="33"/>
        <v>105</v>
      </c>
      <c r="AF89" s="511">
        <v>0</v>
      </c>
      <c r="AG89" s="247"/>
      <c r="AH89" s="247">
        <f t="shared" si="34"/>
        <v>0</v>
      </c>
      <c r="AI89" s="247"/>
      <c r="AJ89" s="458">
        <v>500</v>
      </c>
      <c r="AK89" s="508">
        <f t="shared" si="35"/>
        <v>0</v>
      </c>
      <c r="AL89" s="509">
        <f t="shared" si="36"/>
        <v>0</v>
      </c>
      <c r="AM89" s="138"/>
    </row>
    <row r="90" spans="1:40" ht="12.95">
      <c r="A90" s="131" t="s">
        <v>337</v>
      </c>
      <c r="B90" s="648" t="s">
        <v>335</v>
      </c>
      <c r="C90" s="131" t="s">
        <v>321</v>
      </c>
      <c r="D90" s="237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9"/>
      <c r="P90" s="238"/>
      <c r="Q90" s="238"/>
      <c r="R90" s="238"/>
      <c r="S90" s="238"/>
      <c r="T90" s="238"/>
      <c r="U90" s="238"/>
      <c r="V90" s="238"/>
      <c r="W90" s="238">
        <v>1</v>
      </c>
      <c r="X90" s="238">
        <v>1</v>
      </c>
      <c r="Y90" s="238">
        <v>1</v>
      </c>
      <c r="Z90" s="238">
        <v>1</v>
      </c>
      <c r="AA90" s="238"/>
      <c r="AB90" s="238"/>
      <c r="AC90" s="238"/>
      <c r="AD90" s="510">
        <f t="shared" si="32"/>
        <v>84</v>
      </c>
      <c r="AE90" s="511">
        <f t="shared" si="33"/>
        <v>84</v>
      </c>
      <c r="AF90" s="511">
        <v>0</v>
      </c>
      <c r="AG90" s="247"/>
      <c r="AH90" s="247">
        <f t="shared" si="34"/>
        <v>0</v>
      </c>
      <c r="AI90" s="247"/>
      <c r="AJ90" s="458">
        <v>500</v>
      </c>
      <c r="AK90" s="508"/>
      <c r="AL90" s="509">
        <f t="shared" si="36"/>
        <v>0</v>
      </c>
      <c r="AM90" s="138"/>
    </row>
    <row r="91" spans="1:40" ht="12.95">
      <c r="A91" s="131" t="s">
        <v>337</v>
      </c>
      <c r="B91" s="648" t="s">
        <v>317</v>
      </c>
      <c r="C91" s="131" t="s">
        <v>306</v>
      </c>
      <c r="D91" s="237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9"/>
      <c r="P91" s="238"/>
      <c r="Q91" s="238"/>
      <c r="R91" s="238"/>
      <c r="S91" s="238"/>
      <c r="T91" s="238"/>
      <c r="U91" s="238"/>
      <c r="V91" s="238"/>
      <c r="W91" s="238">
        <v>1</v>
      </c>
      <c r="X91" s="238">
        <v>1</v>
      </c>
      <c r="Y91" s="238">
        <v>1</v>
      </c>
      <c r="Z91" s="238">
        <v>1</v>
      </c>
      <c r="AA91" s="238"/>
      <c r="AB91" s="238"/>
      <c r="AC91" s="238"/>
      <c r="AD91" s="510">
        <f t="shared" si="32"/>
        <v>84</v>
      </c>
      <c r="AE91" s="511">
        <f t="shared" si="33"/>
        <v>84</v>
      </c>
      <c r="AF91" s="511">
        <v>80</v>
      </c>
      <c r="AG91" s="247"/>
      <c r="AH91" s="247">
        <f t="shared" si="34"/>
        <v>1</v>
      </c>
      <c r="AI91" s="247"/>
      <c r="AJ91" s="649">
        <v>516</v>
      </c>
      <c r="AK91" s="508"/>
      <c r="AL91" s="509">
        <f t="shared" si="36"/>
        <v>41280</v>
      </c>
      <c r="AM91" s="138"/>
    </row>
    <row r="92" spans="1:40" ht="12.95">
      <c r="A92" s="131" t="s">
        <v>337</v>
      </c>
      <c r="B92" s="648" t="s">
        <v>322</v>
      </c>
      <c r="C92" s="131" t="s">
        <v>323</v>
      </c>
      <c r="D92" s="237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9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>
        <v>1</v>
      </c>
      <c r="AC92" s="238">
        <v>1</v>
      </c>
      <c r="AD92" s="510">
        <f t="shared" si="32"/>
        <v>42</v>
      </c>
      <c r="AE92" s="511">
        <f t="shared" si="33"/>
        <v>42</v>
      </c>
      <c r="AF92" s="511">
        <v>0</v>
      </c>
      <c r="AG92" s="247"/>
      <c r="AH92" s="247">
        <f t="shared" si="34"/>
        <v>0</v>
      </c>
      <c r="AI92" s="247"/>
      <c r="AJ92" s="458">
        <v>625</v>
      </c>
      <c r="AK92" s="508">
        <f t="shared" si="35"/>
        <v>0</v>
      </c>
      <c r="AL92" s="509">
        <f t="shared" si="36"/>
        <v>0</v>
      </c>
      <c r="AM92" s="138"/>
    </row>
    <row r="93" spans="1:40" ht="12.95">
      <c r="A93" s="131" t="s">
        <v>337</v>
      </c>
      <c r="B93" s="648" t="s">
        <v>322</v>
      </c>
      <c r="C93" s="131" t="s">
        <v>320</v>
      </c>
      <c r="D93" s="237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9"/>
      <c r="P93" s="238"/>
      <c r="Q93" s="238"/>
      <c r="R93" s="238"/>
      <c r="S93" s="238"/>
      <c r="T93" s="238"/>
      <c r="U93" s="238"/>
      <c r="V93" s="238"/>
      <c r="W93" s="238"/>
      <c r="X93" s="238"/>
      <c r="Y93" s="238"/>
      <c r="Z93" s="238"/>
      <c r="AA93" s="238"/>
      <c r="AB93" s="238">
        <v>1</v>
      </c>
      <c r="AC93" s="238">
        <v>1</v>
      </c>
      <c r="AD93" s="510">
        <f t="shared" si="32"/>
        <v>42</v>
      </c>
      <c r="AE93" s="511">
        <f t="shared" si="33"/>
        <v>42</v>
      </c>
      <c r="AF93" s="511">
        <f>780/4</f>
        <v>195</v>
      </c>
      <c r="AG93" s="247"/>
      <c r="AH93" s="247">
        <f t="shared" si="34"/>
        <v>5</v>
      </c>
      <c r="AI93" s="247"/>
      <c r="AJ93" s="458">
        <v>550</v>
      </c>
      <c r="AK93" s="508"/>
      <c r="AL93" s="509">
        <f t="shared" si="36"/>
        <v>107250</v>
      </c>
      <c r="AM93" s="138"/>
    </row>
    <row r="94" spans="1:40" ht="12.95">
      <c r="B94" s="251"/>
      <c r="D94" s="237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9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460"/>
      <c r="AE94" s="235"/>
      <c r="AF94" s="235"/>
      <c r="AG94" s="235"/>
      <c r="AH94" s="235"/>
      <c r="AI94" s="235"/>
      <c r="AJ94" s="459"/>
      <c r="AK94" s="508"/>
      <c r="AL94" s="509"/>
      <c r="AM94" s="138"/>
      <c r="AN94" s="138"/>
    </row>
    <row r="95" spans="1:40">
      <c r="B95" s="650" t="s">
        <v>338</v>
      </c>
      <c r="D95" s="237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9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460"/>
      <c r="AE95" s="235"/>
      <c r="AF95" s="235"/>
      <c r="AG95" s="235"/>
      <c r="AH95" s="235"/>
      <c r="AI95" s="235"/>
      <c r="AJ95" s="459"/>
      <c r="AK95" s="593"/>
      <c r="AL95" s="594">
        <f>SUM(AL96:AL101)</f>
        <v>1874320</v>
      </c>
      <c r="AM95" s="138"/>
    </row>
    <row r="96" spans="1:40" ht="12.95" customHeight="1">
      <c r="A96" s="131" t="s">
        <v>339</v>
      </c>
      <c r="B96" s="648" t="s">
        <v>305</v>
      </c>
      <c r="C96" s="131" t="s">
        <v>306</v>
      </c>
      <c r="D96" s="237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9"/>
      <c r="P96" s="238"/>
      <c r="Q96" s="238">
        <v>1</v>
      </c>
      <c r="R96" s="238">
        <v>1</v>
      </c>
      <c r="S96" s="238">
        <v>1</v>
      </c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510">
        <f t="shared" ref="AD96:AD101" si="37">COUNTA(D96:AC96)*21</f>
        <v>63</v>
      </c>
      <c r="AE96" s="511">
        <f t="shared" ref="AE96:AE101" si="38">COUNTA(D96:AC96)*21</f>
        <v>63</v>
      </c>
      <c r="AF96" s="511">
        <v>520</v>
      </c>
      <c r="AG96" s="247"/>
      <c r="AH96" s="247">
        <f t="shared" ref="AH96:AH101" si="39">ROUNDUP(AF96/AE96,0)</f>
        <v>9</v>
      </c>
      <c r="AI96" s="247"/>
      <c r="AJ96" s="649">
        <v>516</v>
      </c>
      <c r="AK96" s="508">
        <f t="shared" ref="AK96:AK101" si="40">AD96*AG96*AI96</f>
        <v>0</v>
      </c>
      <c r="AL96" s="509">
        <f t="shared" ref="AL96:AL101" si="41">AF96*AJ96</f>
        <v>268320</v>
      </c>
      <c r="AM96" s="138"/>
    </row>
    <row r="97" spans="1:40" ht="12.95" customHeight="1">
      <c r="A97" s="131" t="s">
        <v>339</v>
      </c>
      <c r="B97" s="648" t="s">
        <v>305</v>
      </c>
      <c r="C97" s="131" t="s">
        <v>326</v>
      </c>
      <c r="D97" s="237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9"/>
      <c r="P97" s="238"/>
      <c r="Q97" s="238">
        <v>1</v>
      </c>
      <c r="R97" s="238">
        <v>1</v>
      </c>
      <c r="S97" s="238">
        <v>1</v>
      </c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510">
        <f t="shared" si="37"/>
        <v>63</v>
      </c>
      <c r="AE97" s="511">
        <f t="shared" si="38"/>
        <v>63</v>
      </c>
      <c r="AF97" s="511">
        <v>1400</v>
      </c>
      <c r="AG97" s="247"/>
      <c r="AH97" s="247">
        <f t="shared" si="39"/>
        <v>23</v>
      </c>
      <c r="AI97" s="247"/>
      <c r="AJ97" s="651">
        <v>550</v>
      </c>
      <c r="AK97" s="508"/>
      <c r="AL97" s="509">
        <f t="shared" si="41"/>
        <v>770000</v>
      </c>
      <c r="AM97" s="138"/>
    </row>
    <row r="98" spans="1:40" ht="12.95">
      <c r="A98" s="131" t="s">
        <v>339</v>
      </c>
      <c r="B98" s="648" t="s">
        <v>311</v>
      </c>
      <c r="C98" s="131" t="s">
        <v>312</v>
      </c>
      <c r="D98" s="237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9"/>
      <c r="P98" s="238"/>
      <c r="Q98" s="238"/>
      <c r="R98" s="238"/>
      <c r="S98" s="238"/>
      <c r="T98" s="238">
        <v>1</v>
      </c>
      <c r="U98" s="238">
        <v>1</v>
      </c>
      <c r="V98" s="238">
        <v>1</v>
      </c>
      <c r="W98" s="238">
        <v>1</v>
      </c>
      <c r="X98" s="238"/>
      <c r="Y98" s="238"/>
      <c r="Z98" s="238"/>
      <c r="AA98" s="238"/>
      <c r="AB98" s="238"/>
      <c r="AC98" s="238"/>
      <c r="AD98" s="510">
        <f t="shared" si="37"/>
        <v>84</v>
      </c>
      <c r="AE98" s="511">
        <f t="shared" si="38"/>
        <v>84</v>
      </c>
      <c r="AF98" s="511">
        <v>0</v>
      </c>
      <c r="AG98" s="247"/>
      <c r="AH98" s="247">
        <f t="shared" si="39"/>
        <v>0</v>
      </c>
      <c r="AI98" s="247"/>
      <c r="AJ98" s="651">
        <v>550</v>
      </c>
      <c r="AK98" s="508">
        <f t="shared" si="40"/>
        <v>0</v>
      </c>
      <c r="AL98" s="509">
        <f t="shared" si="41"/>
        <v>0</v>
      </c>
      <c r="AM98" s="138"/>
    </row>
    <row r="99" spans="1:40" ht="12.95">
      <c r="A99" s="131" t="s">
        <v>339</v>
      </c>
      <c r="B99" s="648" t="s">
        <v>311</v>
      </c>
      <c r="C99" s="131" t="s">
        <v>326</v>
      </c>
      <c r="D99" s="237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9"/>
      <c r="P99" s="238"/>
      <c r="Q99" s="238"/>
      <c r="R99" s="238"/>
      <c r="S99" s="238"/>
      <c r="T99" s="238">
        <v>1</v>
      </c>
      <c r="U99" s="238">
        <v>1</v>
      </c>
      <c r="V99" s="238">
        <v>1</v>
      </c>
      <c r="W99" s="238">
        <v>1</v>
      </c>
      <c r="X99" s="238"/>
      <c r="Y99" s="238"/>
      <c r="Z99" s="238"/>
      <c r="AA99" s="238"/>
      <c r="AB99" s="238"/>
      <c r="AC99" s="238"/>
      <c r="AD99" s="510">
        <f t="shared" si="37"/>
        <v>84</v>
      </c>
      <c r="AE99" s="511">
        <f t="shared" si="38"/>
        <v>84</v>
      </c>
      <c r="AF99" s="511">
        <v>500</v>
      </c>
      <c r="AG99" s="247"/>
      <c r="AH99" s="247">
        <f t="shared" si="39"/>
        <v>6</v>
      </c>
      <c r="AI99" s="247"/>
      <c r="AJ99" s="458">
        <v>550</v>
      </c>
      <c r="AK99" s="508"/>
      <c r="AL99" s="509">
        <f t="shared" si="41"/>
        <v>275000</v>
      </c>
      <c r="AM99" s="138"/>
    </row>
    <row r="100" spans="1:40" ht="14.1" customHeight="1">
      <c r="A100" s="131" t="s">
        <v>339</v>
      </c>
      <c r="B100" s="648" t="s">
        <v>315</v>
      </c>
      <c r="C100" s="131" t="s">
        <v>326</v>
      </c>
      <c r="D100" s="237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9"/>
      <c r="P100" s="238"/>
      <c r="Q100" s="238"/>
      <c r="R100" s="238"/>
      <c r="S100" s="238"/>
      <c r="T100" s="238"/>
      <c r="U100" s="238"/>
      <c r="V100" s="238"/>
      <c r="W100" s="238">
        <v>1</v>
      </c>
      <c r="X100" s="238">
        <v>1</v>
      </c>
      <c r="Y100" s="238">
        <v>1</v>
      </c>
      <c r="Z100" s="238">
        <v>1</v>
      </c>
      <c r="AA100" s="238">
        <v>1</v>
      </c>
      <c r="AB100" s="238"/>
      <c r="AC100" s="238"/>
      <c r="AD100" s="510">
        <f t="shared" si="37"/>
        <v>105</v>
      </c>
      <c r="AE100" s="511">
        <f t="shared" si="38"/>
        <v>105</v>
      </c>
      <c r="AF100" s="511">
        <f>620+320+40+40</f>
        <v>1020</v>
      </c>
      <c r="AG100" s="247"/>
      <c r="AH100" s="247">
        <f t="shared" si="39"/>
        <v>10</v>
      </c>
      <c r="AI100" s="247"/>
      <c r="AJ100" s="458">
        <v>550</v>
      </c>
      <c r="AK100" s="508">
        <f t="shared" si="40"/>
        <v>0</v>
      </c>
      <c r="AL100" s="509">
        <f t="shared" si="41"/>
        <v>561000</v>
      </c>
      <c r="AM100" s="138"/>
    </row>
    <row r="101" spans="1:40" ht="12.95">
      <c r="A101" s="131" t="s">
        <v>339</v>
      </c>
      <c r="B101" s="648" t="s">
        <v>322</v>
      </c>
      <c r="C101" s="131" t="s">
        <v>320</v>
      </c>
      <c r="D101" s="237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9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>
        <v>1</v>
      </c>
      <c r="AC101" s="238">
        <v>1</v>
      </c>
      <c r="AD101" s="510">
        <f t="shared" si="37"/>
        <v>42</v>
      </c>
      <c r="AE101" s="511">
        <f t="shared" si="38"/>
        <v>42</v>
      </c>
      <c r="AF101" s="511">
        <v>0</v>
      </c>
      <c r="AG101" s="247"/>
      <c r="AH101" s="247">
        <f t="shared" si="39"/>
        <v>0</v>
      </c>
      <c r="AI101" s="247"/>
      <c r="AJ101" s="458">
        <v>550</v>
      </c>
      <c r="AK101" s="508">
        <f t="shared" si="40"/>
        <v>0</v>
      </c>
      <c r="AL101" s="509">
        <f t="shared" si="41"/>
        <v>0</v>
      </c>
      <c r="AM101" s="138"/>
    </row>
    <row r="102" spans="1:40" ht="12.95">
      <c r="B102" s="648"/>
      <c r="D102" s="237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9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652"/>
      <c r="AE102" s="653"/>
      <c r="AF102" s="653"/>
      <c r="AG102" s="654"/>
      <c r="AH102" s="654"/>
      <c r="AI102" s="654"/>
      <c r="AJ102" s="654"/>
      <c r="AK102" s="508"/>
      <c r="AL102" s="509"/>
      <c r="AM102" s="138"/>
    </row>
    <row r="103" spans="1:40" ht="15">
      <c r="B103" s="591" t="s">
        <v>340</v>
      </c>
      <c r="C103" s="592"/>
      <c r="D103" s="237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9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628"/>
      <c r="AE103"/>
      <c r="AF103"/>
      <c r="AG103" s="629"/>
      <c r="AH103" s="629"/>
      <c r="AI103" s="629"/>
      <c r="AJ103" s="629"/>
      <c r="AK103" s="593"/>
      <c r="AL103" s="594">
        <f>SUM(AL104:AL106)</f>
        <v>1256910.8736559139</v>
      </c>
      <c r="AM103" s="138"/>
      <c r="AN103" s="138"/>
    </row>
    <row r="104" spans="1:40" ht="12.95">
      <c r="B104" s="631" t="s">
        <v>341</v>
      </c>
      <c r="D104" s="237"/>
      <c r="E104" s="238"/>
      <c r="F104" s="632"/>
      <c r="G104" s="632"/>
      <c r="H104" s="632"/>
      <c r="I104" s="632"/>
      <c r="J104" s="632"/>
      <c r="K104" s="632"/>
      <c r="L104" s="632"/>
      <c r="M104" s="632"/>
      <c r="N104" s="632"/>
      <c r="O104" s="633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  <c r="AA104" s="632"/>
      <c r="AB104" s="632"/>
      <c r="AC104" s="632"/>
      <c r="AD104" s="510"/>
      <c r="AE104" s="511"/>
      <c r="AF104" s="511"/>
      <c r="AG104" s="247"/>
      <c r="AH104" s="247"/>
      <c r="AI104" s="247"/>
      <c r="AJ104" s="458"/>
      <c r="AK104" s="508">
        <f t="shared" ref="AK104:AK106" si="42">AD104*AG104*AI104</f>
        <v>0</v>
      </c>
      <c r="AL104" s="509">
        <f>((SUM(AL3,AL22,AL35,AL48,AL61,AL72,AL84,AL95))/93)*3</f>
        <v>538676.08870967734</v>
      </c>
      <c r="AM104" s="138"/>
      <c r="AN104" s="138"/>
    </row>
    <row r="105" spans="1:40" ht="12.95">
      <c r="B105" s="631" t="s">
        <v>232</v>
      </c>
      <c r="D105" s="237"/>
      <c r="E105" s="238"/>
      <c r="F105" s="632"/>
      <c r="G105" s="632"/>
      <c r="H105" s="632"/>
      <c r="I105" s="632"/>
      <c r="J105" s="632"/>
      <c r="K105" s="632"/>
      <c r="L105" s="632"/>
      <c r="M105" s="632"/>
      <c r="N105" s="632"/>
      <c r="O105" s="633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  <c r="AA105" s="632"/>
      <c r="AB105" s="632"/>
      <c r="AC105" s="632"/>
      <c r="AD105" s="510"/>
      <c r="AE105" s="511"/>
      <c r="AF105" s="511"/>
      <c r="AG105" s="247"/>
      <c r="AH105" s="247"/>
      <c r="AI105" s="247"/>
      <c r="AJ105" s="458"/>
      <c r="AK105" s="508">
        <f t="shared" si="42"/>
        <v>0</v>
      </c>
      <c r="AL105" s="509">
        <f>((SUM(AL3,AL22,AL35,AL48,AL61,AL72,AL84,AL95))/93)*1</f>
        <v>179558.69623655913</v>
      </c>
      <c r="AM105" s="138"/>
      <c r="AN105" s="138"/>
    </row>
    <row r="106" spans="1:40" ht="12.95">
      <c r="B106" s="631" t="s">
        <v>230</v>
      </c>
      <c r="D106" s="237"/>
      <c r="E106" s="238"/>
      <c r="F106" s="238">
        <v>1</v>
      </c>
      <c r="G106" s="238">
        <v>1</v>
      </c>
      <c r="H106" s="238">
        <v>1</v>
      </c>
      <c r="I106" s="238">
        <v>1</v>
      </c>
      <c r="J106" s="238">
        <v>1</v>
      </c>
      <c r="K106" s="238">
        <v>1</v>
      </c>
      <c r="L106" s="238">
        <v>1</v>
      </c>
      <c r="M106" s="238">
        <v>1</v>
      </c>
      <c r="N106" s="238">
        <v>1</v>
      </c>
      <c r="O106" s="239">
        <v>1</v>
      </c>
      <c r="P106" s="238">
        <v>1</v>
      </c>
      <c r="Q106" s="238">
        <v>1</v>
      </c>
      <c r="R106" s="238">
        <v>1</v>
      </c>
      <c r="S106" s="238">
        <v>1</v>
      </c>
      <c r="T106" s="238">
        <v>1</v>
      </c>
      <c r="U106" s="238">
        <v>1</v>
      </c>
      <c r="V106" s="238">
        <v>1</v>
      </c>
      <c r="W106" s="238">
        <v>1</v>
      </c>
      <c r="X106" s="238">
        <v>1</v>
      </c>
      <c r="Y106" s="238">
        <v>1</v>
      </c>
      <c r="Z106" s="238">
        <v>1</v>
      </c>
      <c r="AA106" s="238">
        <v>1</v>
      </c>
      <c r="AB106" s="238">
        <v>1</v>
      </c>
      <c r="AC106" s="238">
        <v>1</v>
      </c>
      <c r="AD106" s="510"/>
      <c r="AE106" s="511"/>
      <c r="AF106" s="511"/>
      <c r="AG106" s="247"/>
      <c r="AH106" s="247"/>
      <c r="AI106" s="247"/>
      <c r="AJ106" s="458"/>
      <c r="AK106" s="508">
        <f t="shared" si="42"/>
        <v>0</v>
      </c>
      <c r="AL106" s="509">
        <f>((SUM(AL3,AL22,AL35,AL48,AL61,AL72,AL84,AL95))/93)*3</f>
        <v>538676.08870967734</v>
      </c>
      <c r="AM106" s="138"/>
      <c r="AN106" s="138"/>
    </row>
    <row r="107" spans="1:40">
      <c r="B107" s="252" t="s">
        <v>342</v>
      </c>
      <c r="C107" s="139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46"/>
      <c r="AA107" s="246"/>
      <c r="AB107" s="246"/>
      <c r="AC107" s="246"/>
      <c r="AD107" s="236"/>
      <c r="AE107" s="236"/>
      <c r="AF107" s="236"/>
      <c r="AG107" s="236"/>
      <c r="AH107" s="236"/>
      <c r="AI107" s="236"/>
      <c r="AJ107" s="236"/>
      <c r="AK107" s="506">
        <f>SUM(AK3:AK106)</f>
        <v>0</v>
      </c>
      <c r="AL107" s="507">
        <f>AL3+AL22+AL35+AL48+AL61+AL72+AL84+AL95+AL103</f>
        <v>17955869.623655915</v>
      </c>
      <c r="AM107" s="140"/>
      <c r="AN107" s="140"/>
    </row>
    <row r="110" spans="1:40" ht="15.95">
      <c r="AL110" s="141"/>
    </row>
    <row r="111" spans="1:40">
      <c r="AL111" s="634">
        <f>AL4+AL23+AL36+AL49+AL62+AL73+AL85</f>
        <v>2208480</v>
      </c>
    </row>
    <row r="112" spans="1:40">
      <c r="AL112" s="634" t="e">
        <f>#REF!+#REF!+AL44+AL59+#REF!+AL81+AL93</f>
        <v>#REF!</v>
      </c>
    </row>
    <row r="113" spans="38:38">
      <c r="AL113" s="634" t="e">
        <f>#REF!+#REF!+AL45+#REF!++#REF!+AL82+#REF!</f>
        <v>#REF!</v>
      </c>
    </row>
    <row r="114" spans="38:38">
      <c r="AL114" s="634" t="e">
        <f>#REF!+AL46+#REF!+#REF!+#REF!+#REF!</f>
        <v>#REF!</v>
      </c>
    </row>
    <row r="196" spans="7:7">
      <c r="G196" s="131">
        <f>'Rozpočet - vývoj Aplikácií'!AL105/2</f>
        <v>89779.348118279566</v>
      </c>
    </row>
  </sheetData>
  <conditionalFormatting sqref="D3:AC3 D106:AC106 D21:AC22 D34:AC35 D47:AC48 D60:AC61 D71:AC72 D83:AC84 D94:AC94 D103:AC103">
    <cfRule type="colorScale" priority="11">
      <colorScale>
        <cfvo type="num" val="0"/>
        <cfvo type="num" val="1"/>
        <color theme="0"/>
        <color theme="2" tint="-0.249977111117893"/>
      </colorScale>
    </cfRule>
  </conditionalFormatting>
  <conditionalFormatting sqref="D104:AC105">
    <cfRule type="colorScale" priority="10">
      <colorScale>
        <cfvo type="num" val="0"/>
        <cfvo type="num" val="1"/>
        <color theme="0"/>
        <color theme="2" tint="-0.249977111117893"/>
      </colorScale>
    </cfRule>
  </conditionalFormatting>
  <conditionalFormatting sqref="D20:O20 D4:AC19">
    <cfRule type="colorScale" priority="9">
      <colorScale>
        <cfvo type="num" val="0"/>
        <cfvo type="num" val="1"/>
        <color theme="0"/>
        <color theme="2" tint="-0.249977111117893"/>
      </colorScale>
    </cfRule>
  </conditionalFormatting>
  <conditionalFormatting sqref="P20:AC20">
    <cfRule type="colorScale" priority="8">
      <colorScale>
        <cfvo type="num" val="0"/>
        <cfvo type="num" val="1"/>
        <color theme="0"/>
        <color theme="2" tint="-0.249977111117893"/>
      </colorScale>
    </cfRule>
  </conditionalFormatting>
  <conditionalFormatting sqref="D23:AC33">
    <cfRule type="colorScale" priority="7">
      <colorScale>
        <cfvo type="num" val="0"/>
        <cfvo type="num" val="1"/>
        <color theme="0"/>
        <color theme="2" tint="-0.249977111117893"/>
      </colorScale>
    </cfRule>
  </conditionalFormatting>
  <conditionalFormatting sqref="D36:AC46">
    <cfRule type="colorScale" priority="6">
      <colorScale>
        <cfvo type="num" val="0"/>
        <cfvo type="num" val="1"/>
        <color theme="0"/>
        <color theme="2" tint="-0.249977111117893"/>
      </colorScale>
    </cfRule>
  </conditionalFormatting>
  <conditionalFormatting sqref="D49:AC59">
    <cfRule type="colorScale" priority="5">
      <colorScale>
        <cfvo type="num" val="0"/>
        <cfvo type="num" val="1"/>
        <color theme="0"/>
        <color theme="2" tint="-0.249977111117893"/>
      </colorScale>
    </cfRule>
  </conditionalFormatting>
  <conditionalFormatting sqref="D62:AC70">
    <cfRule type="colorScale" priority="4">
      <colorScale>
        <cfvo type="num" val="0"/>
        <cfvo type="num" val="1"/>
        <color theme="0"/>
        <color theme="2" tint="-0.249977111117893"/>
      </colorScale>
    </cfRule>
  </conditionalFormatting>
  <conditionalFormatting sqref="D73:AC82">
    <cfRule type="colorScale" priority="3">
      <colorScale>
        <cfvo type="num" val="0"/>
        <cfvo type="num" val="1"/>
        <color theme="0"/>
        <color theme="2" tint="-0.249977111117893"/>
      </colorScale>
    </cfRule>
  </conditionalFormatting>
  <conditionalFormatting sqref="D85:AC93">
    <cfRule type="colorScale" priority="2">
      <colorScale>
        <cfvo type="num" val="0"/>
        <cfvo type="num" val="1"/>
        <color theme="0"/>
        <color theme="2" tint="-0.249977111117893"/>
      </colorScale>
    </cfRule>
  </conditionalFormatting>
  <conditionalFormatting sqref="D95:AC102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38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CC"/>
  </sheetPr>
  <dimension ref="A1:F28"/>
  <sheetViews>
    <sheetView view="pageBreakPreview" zoomScale="110" zoomScaleNormal="100" zoomScaleSheetLayoutView="110" workbookViewId="0" xr3:uid="{33642244-9AC9-5136-AF77-195C889548CE}">
      <selection activeCell="F17" sqref="F17"/>
    </sheetView>
  </sheetViews>
  <sheetFormatPr defaultColWidth="8.85546875" defaultRowHeight="15"/>
  <cols>
    <col min="1" max="1" width="51.42578125" customWidth="1"/>
    <col min="2" max="2" width="13.42578125" bestFit="1" customWidth="1"/>
    <col min="4" max="4" width="18.28515625" bestFit="1" customWidth="1"/>
    <col min="5" max="5" width="16" bestFit="1" customWidth="1"/>
    <col min="6" max="6" width="48.85546875" customWidth="1"/>
  </cols>
  <sheetData>
    <row r="1" spans="1:6" ht="15.95" thickBot="1"/>
    <row r="2" spans="1:6" ht="15.95" thickBot="1">
      <c r="A2" s="482" t="s">
        <v>343</v>
      </c>
      <c r="B2" s="482" t="s">
        <v>344</v>
      </c>
      <c r="C2" s="482" t="s">
        <v>345</v>
      </c>
      <c r="D2" s="486" t="s">
        <v>346</v>
      </c>
      <c r="E2" s="486" t="s">
        <v>347</v>
      </c>
      <c r="F2" s="482" t="s">
        <v>348</v>
      </c>
    </row>
    <row r="3" spans="1:6">
      <c r="A3" s="480" t="s">
        <v>349</v>
      </c>
      <c r="B3" s="483" t="s">
        <v>350</v>
      </c>
      <c r="C3" s="483"/>
      <c r="D3" s="487">
        <v>0</v>
      </c>
      <c r="E3" s="485">
        <f>D3*C3</f>
        <v>0</v>
      </c>
      <c r="F3" s="481" t="s">
        <v>351</v>
      </c>
    </row>
    <row r="4" spans="1:6">
      <c r="A4" s="251" t="s">
        <v>352</v>
      </c>
      <c r="B4" s="484" t="s">
        <v>353</v>
      </c>
      <c r="C4" s="484"/>
      <c r="D4" s="488">
        <v>0</v>
      </c>
      <c r="E4" s="485">
        <f t="shared" ref="E4:E28" si="0">D4*C4</f>
        <v>0</v>
      </c>
      <c r="F4" s="481" t="s">
        <v>351</v>
      </c>
    </row>
    <row r="5" spans="1:6">
      <c r="A5" s="251" t="s">
        <v>354</v>
      </c>
      <c r="B5" s="484"/>
      <c r="C5" s="484"/>
      <c r="D5" s="488">
        <v>0</v>
      </c>
      <c r="E5" s="485">
        <f t="shared" si="0"/>
        <v>0</v>
      </c>
      <c r="F5" s="479" t="s">
        <v>79</v>
      </c>
    </row>
    <row r="6" spans="1:6">
      <c r="A6" s="251" t="s">
        <v>355</v>
      </c>
      <c r="B6" s="484"/>
      <c r="C6" s="484"/>
      <c r="D6" s="488">
        <v>0</v>
      </c>
      <c r="E6" s="485">
        <f t="shared" si="0"/>
        <v>0</v>
      </c>
      <c r="F6" s="479" t="s">
        <v>79</v>
      </c>
    </row>
    <row r="7" spans="1:6">
      <c r="A7" s="251" t="s">
        <v>356</v>
      </c>
      <c r="B7" s="484"/>
      <c r="C7" s="484"/>
      <c r="D7" s="488">
        <v>0</v>
      </c>
      <c r="E7" s="485">
        <f t="shared" si="0"/>
        <v>0</v>
      </c>
      <c r="F7" s="479" t="s">
        <v>357</v>
      </c>
    </row>
    <row r="8" spans="1:6">
      <c r="A8" s="251" t="s">
        <v>358</v>
      </c>
      <c r="B8" s="484"/>
      <c r="C8" s="484"/>
      <c r="D8" s="488">
        <v>0</v>
      </c>
      <c r="E8" s="485">
        <f t="shared" si="0"/>
        <v>0</v>
      </c>
      <c r="F8" s="479" t="s">
        <v>357</v>
      </c>
    </row>
    <row r="9" spans="1:6">
      <c r="A9" s="251" t="s">
        <v>359</v>
      </c>
      <c r="B9" s="484"/>
      <c r="C9" s="484"/>
      <c r="D9" s="488">
        <v>0</v>
      </c>
      <c r="E9" s="485">
        <f t="shared" si="0"/>
        <v>0</v>
      </c>
      <c r="F9" s="479" t="s">
        <v>357</v>
      </c>
    </row>
    <row r="10" spans="1:6">
      <c r="A10" s="251" t="s">
        <v>360</v>
      </c>
      <c r="B10" s="484"/>
      <c r="C10" s="484"/>
      <c r="D10" s="488">
        <v>0</v>
      </c>
      <c r="E10" s="485">
        <f t="shared" si="0"/>
        <v>0</v>
      </c>
      <c r="F10" s="479" t="s">
        <v>357</v>
      </c>
    </row>
    <row r="11" spans="1:6">
      <c r="A11" s="251" t="s">
        <v>361</v>
      </c>
      <c r="B11" s="484"/>
      <c r="C11" s="484">
        <v>1</v>
      </c>
      <c r="D11" s="488">
        <f>'BPM evaluation'!H3</f>
        <v>378678.75</v>
      </c>
      <c r="E11" s="485">
        <f>C11*D11</f>
        <v>378678.75</v>
      </c>
      <c r="F11" s="479" t="s">
        <v>362</v>
      </c>
    </row>
    <row r="12" spans="1:6">
      <c r="A12" s="251" t="s">
        <v>363</v>
      </c>
      <c r="B12" s="484"/>
      <c r="C12" s="484"/>
      <c r="D12" s="488">
        <v>0</v>
      </c>
      <c r="E12" s="485">
        <f t="shared" si="0"/>
        <v>0</v>
      </c>
      <c r="F12" s="479" t="s">
        <v>79</v>
      </c>
    </row>
    <row r="13" spans="1:6" ht="84">
      <c r="A13" s="635" t="s">
        <v>364</v>
      </c>
      <c r="B13" s="484"/>
      <c r="C13" s="484">
        <v>1</v>
      </c>
      <c r="D13" s="488"/>
      <c r="E13" s="485">
        <f t="shared" si="0"/>
        <v>0</v>
      </c>
      <c r="F13" s="479"/>
    </row>
    <row r="14" spans="1:6" ht="84">
      <c r="A14" s="635" t="s">
        <v>365</v>
      </c>
      <c r="B14" s="484"/>
      <c r="C14" s="484">
        <v>1</v>
      </c>
      <c r="D14" s="488">
        <f>667000*1.2</f>
        <v>800400</v>
      </c>
      <c r="E14" s="485">
        <f t="shared" si="0"/>
        <v>800400</v>
      </c>
      <c r="F14" s="479" t="s">
        <v>366</v>
      </c>
    </row>
    <row r="15" spans="1:6">
      <c r="A15" s="251"/>
      <c r="B15" s="484"/>
      <c r="C15" s="484"/>
      <c r="D15" s="488"/>
      <c r="E15" s="485">
        <f t="shared" si="0"/>
        <v>0</v>
      </c>
      <c r="F15" s="479"/>
    </row>
    <row r="16" spans="1:6">
      <c r="A16" s="251"/>
      <c r="B16" s="484"/>
      <c r="C16" s="484"/>
      <c r="D16" s="488"/>
      <c r="E16" s="485">
        <f t="shared" si="0"/>
        <v>0</v>
      </c>
      <c r="F16" s="479"/>
    </row>
    <row r="17" spans="1:6">
      <c r="A17" s="251"/>
      <c r="B17" s="484"/>
      <c r="C17" s="484"/>
      <c r="D17" s="488"/>
      <c r="E17" s="485">
        <f t="shared" si="0"/>
        <v>0</v>
      </c>
      <c r="F17" s="479"/>
    </row>
    <row r="18" spans="1:6">
      <c r="A18" s="251"/>
      <c r="B18" s="484"/>
      <c r="C18" s="484"/>
      <c r="D18" s="488"/>
      <c r="E18" s="485">
        <f t="shared" si="0"/>
        <v>0</v>
      </c>
      <c r="F18" s="479"/>
    </row>
    <row r="19" spans="1:6">
      <c r="A19" s="251"/>
      <c r="B19" s="484"/>
      <c r="C19" s="484"/>
      <c r="D19" s="488"/>
      <c r="E19" s="485">
        <f t="shared" si="0"/>
        <v>0</v>
      </c>
      <c r="F19" s="479"/>
    </row>
    <row r="20" spans="1:6">
      <c r="A20" s="251"/>
      <c r="B20" s="484"/>
      <c r="C20" s="484"/>
      <c r="D20" s="488"/>
      <c r="E20" s="485">
        <f t="shared" si="0"/>
        <v>0</v>
      </c>
      <c r="F20" s="479"/>
    </row>
    <row r="21" spans="1:6">
      <c r="A21" s="251"/>
      <c r="B21" s="484"/>
      <c r="C21" s="484"/>
      <c r="D21" s="488"/>
      <c r="E21" s="485">
        <f t="shared" si="0"/>
        <v>0</v>
      </c>
      <c r="F21" s="479"/>
    </row>
    <row r="22" spans="1:6">
      <c r="A22" s="251"/>
      <c r="B22" s="484"/>
      <c r="C22" s="484"/>
      <c r="D22" s="488"/>
      <c r="E22" s="485">
        <f t="shared" si="0"/>
        <v>0</v>
      </c>
      <c r="F22" s="479"/>
    </row>
    <row r="23" spans="1:6">
      <c r="A23" s="251"/>
      <c r="B23" s="484"/>
      <c r="C23" s="484"/>
      <c r="D23" s="488"/>
      <c r="E23" s="485">
        <f t="shared" si="0"/>
        <v>0</v>
      </c>
      <c r="F23" s="479"/>
    </row>
    <row r="24" spans="1:6">
      <c r="A24" s="251"/>
      <c r="B24" s="484"/>
      <c r="C24" s="484"/>
      <c r="D24" s="488"/>
      <c r="E24" s="485">
        <f t="shared" si="0"/>
        <v>0</v>
      </c>
      <c r="F24" s="479"/>
    </row>
    <row r="25" spans="1:6">
      <c r="A25" s="251"/>
      <c r="B25" s="484"/>
      <c r="C25" s="484"/>
      <c r="D25" s="488"/>
      <c r="E25" s="485">
        <f t="shared" si="0"/>
        <v>0</v>
      </c>
      <c r="F25" s="479"/>
    </row>
    <row r="26" spans="1:6">
      <c r="A26" s="251"/>
      <c r="B26" s="484"/>
      <c r="C26" s="484"/>
      <c r="D26" s="488"/>
      <c r="E26" s="485">
        <f t="shared" si="0"/>
        <v>0</v>
      </c>
      <c r="F26" s="479"/>
    </row>
    <row r="27" spans="1:6">
      <c r="A27" s="251"/>
      <c r="B27" s="484"/>
      <c r="C27" s="484"/>
      <c r="D27" s="488"/>
      <c r="E27" s="485">
        <f t="shared" si="0"/>
        <v>0</v>
      </c>
      <c r="F27" s="479"/>
    </row>
    <row r="28" spans="1:6">
      <c r="A28" s="251"/>
      <c r="B28" s="484"/>
      <c r="C28" s="484"/>
      <c r="D28" s="488"/>
      <c r="E28" s="485">
        <f t="shared" si="0"/>
        <v>0</v>
      </c>
      <c r="F28" s="479"/>
    </row>
  </sheetData>
  <pageMargins left="0.7" right="0.7" top="0.75" bottom="0.75" header="0.3" footer="0.3"/>
  <pageSetup paperSize="9" scale="5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CC"/>
  </sheetPr>
  <dimension ref="A1:AQ15"/>
  <sheetViews>
    <sheetView view="pageBreakPreview" zoomScale="60" zoomScaleNormal="80" workbookViewId="0" xr3:uid="{D624DF06-3800-545C-AC8D-BADC89115800}">
      <selection activeCell="P24" sqref="P24"/>
    </sheetView>
  </sheetViews>
  <sheetFormatPr defaultColWidth="8.7109375" defaultRowHeight="12"/>
  <cols>
    <col min="1" max="1" width="36.28515625" style="131" customWidth="1"/>
    <col min="2" max="2" width="34.7109375" style="131" customWidth="1"/>
    <col min="3" max="3" width="3.28515625" style="131" customWidth="1"/>
    <col min="4" max="24" width="3.7109375" style="131" customWidth="1"/>
    <col min="25" max="25" width="4.42578125" style="131" customWidth="1"/>
    <col min="26" max="28" width="16.42578125" style="131" customWidth="1"/>
    <col min="29" max="29" width="18.140625" style="131" customWidth="1"/>
    <col min="30" max="30" width="9" style="131" customWidth="1"/>
    <col min="31" max="31" width="9.140625" style="131" customWidth="1"/>
    <col min="32" max="32" width="9" style="131" customWidth="1"/>
    <col min="33" max="33" width="10.7109375" style="132" customWidth="1"/>
    <col min="34" max="36" width="10.7109375" style="131" customWidth="1"/>
    <col min="37" max="37" width="52.140625" style="131" customWidth="1"/>
    <col min="38" max="38" width="51.7109375" style="131" customWidth="1"/>
    <col min="39" max="42" width="8.7109375" style="131"/>
    <col min="43" max="43" width="18.85546875" style="131" customWidth="1"/>
    <col min="44" max="16384" width="8.7109375" style="131"/>
  </cols>
  <sheetData>
    <row r="1" spans="1:43" ht="26.1" customHeight="1" thickBot="1">
      <c r="A1" s="771" t="s">
        <v>367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642"/>
      <c r="AA1" s="642"/>
      <c r="AB1" s="642"/>
      <c r="AC1" s="642"/>
      <c r="AD1" s="771" t="s">
        <v>368</v>
      </c>
      <c r="AE1" s="771"/>
      <c r="AF1" s="771"/>
      <c r="AG1" s="771"/>
      <c r="AH1" s="771"/>
      <c r="AI1" s="771"/>
      <c r="AJ1" s="771"/>
      <c r="AK1" s="771"/>
    </row>
    <row r="2" spans="1:43" ht="36" customHeight="1" thickBot="1">
      <c r="A2" s="230"/>
      <c r="B2" s="229"/>
      <c r="C2" s="231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32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32"/>
      <c r="Z2" s="772" t="s">
        <v>369</v>
      </c>
      <c r="AA2" s="773"/>
      <c r="AB2" s="773"/>
      <c r="AC2" s="773"/>
      <c r="AD2" s="773"/>
      <c r="AE2" s="773"/>
      <c r="AF2" s="773"/>
      <c r="AG2" s="773"/>
      <c r="AH2" s="773"/>
      <c r="AI2" s="773"/>
      <c r="AJ2" s="773"/>
      <c r="AK2" s="774"/>
      <c r="AL2" s="763" t="s">
        <v>370</v>
      </c>
      <c r="AM2" s="764"/>
      <c r="AN2" s="764"/>
      <c r="AO2" s="764"/>
      <c r="AP2" s="764"/>
      <c r="AQ2" s="765"/>
    </row>
    <row r="3" spans="1:43" ht="36" customHeight="1" thickBot="1">
      <c r="A3" s="294"/>
      <c r="B3" s="292"/>
      <c r="C3" s="293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1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1"/>
      <c r="Z3" s="763" t="s">
        <v>371</v>
      </c>
      <c r="AA3" s="764"/>
      <c r="AB3" s="764"/>
      <c r="AC3" s="764"/>
      <c r="AD3" s="763" t="s">
        <v>372</v>
      </c>
      <c r="AE3" s="764"/>
      <c r="AF3" s="764"/>
      <c r="AG3" s="764"/>
      <c r="AH3" s="764"/>
      <c r="AI3" s="764"/>
      <c r="AJ3" s="764"/>
      <c r="AK3" s="765"/>
      <c r="AL3" s="233"/>
      <c r="AM3" s="234"/>
      <c r="AN3" s="234"/>
      <c r="AO3" s="234"/>
      <c r="AP3" s="234"/>
      <c r="AQ3" s="645"/>
    </row>
    <row r="4" spans="1:43" ht="51" customHeight="1">
      <c r="A4" s="294" t="s">
        <v>373</v>
      </c>
      <c r="B4" s="571" t="s">
        <v>374</v>
      </c>
      <c r="C4" s="293" t="s">
        <v>268</v>
      </c>
      <c r="D4" s="292" t="s">
        <v>269</v>
      </c>
      <c r="E4" s="292" t="s">
        <v>270</v>
      </c>
      <c r="F4" s="292" t="s">
        <v>271</v>
      </c>
      <c r="G4" s="292" t="s">
        <v>272</v>
      </c>
      <c r="H4" s="292" t="s">
        <v>273</v>
      </c>
      <c r="I4" s="292" t="s">
        <v>274</v>
      </c>
      <c r="J4" s="292" t="s">
        <v>275</v>
      </c>
      <c r="K4" s="292" t="s">
        <v>276</v>
      </c>
      <c r="L4" s="292" t="s">
        <v>277</v>
      </c>
      <c r="M4" s="292" t="s">
        <v>278</v>
      </c>
      <c r="N4" s="291" t="s">
        <v>279</v>
      </c>
      <c r="O4" s="292" t="s">
        <v>280</v>
      </c>
      <c r="P4" s="292" t="s">
        <v>281</v>
      </c>
      <c r="Q4" s="292" t="s">
        <v>282</v>
      </c>
      <c r="R4" s="292" t="s">
        <v>283</v>
      </c>
      <c r="S4" s="292" t="s">
        <v>284</v>
      </c>
      <c r="T4" s="292" t="s">
        <v>285</v>
      </c>
      <c r="U4" s="292" t="s">
        <v>286</v>
      </c>
      <c r="V4" s="292" t="s">
        <v>287</v>
      </c>
      <c r="W4" s="292" t="s">
        <v>288</v>
      </c>
      <c r="X4" s="292" t="s">
        <v>289</v>
      </c>
      <c r="Y4" s="291" t="s">
        <v>291</v>
      </c>
      <c r="Z4" s="231" t="s">
        <v>375</v>
      </c>
      <c r="AA4" s="229" t="s">
        <v>376</v>
      </c>
      <c r="AB4" s="229" t="s">
        <v>377</v>
      </c>
      <c r="AC4" s="229" t="s">
        <v>378</v>
      </c>
      <c r="AD4" s="643" t="s">
        <v>379</v>
      </c>
      <c r="AE4" s="644" t="s">
        <v>380</v>
      </c>
      <c r="AF4" s="644" t="s">
        <v>381</v>
      </c>
      <c r="AG4" s="645" t="s">
        <v>382</v>
      </c>
      <c r="AH4" s="645" t="s">
        <v>383</v>
      </c>
      <c r="AI4" s="645" t="s">
        <v>155</v>
      </c>
      <c r="AJ4" s="766" t="s">
        <v>384</v>
      </c>
      <c r="AK4" s="641" t="s">
        <v>385</v>
      </c>
      <c r="AL4" s="641" t="s">
        <v>386</v>
      </c>
      <c r="AM4" s="643" t="s">
        <v>379</v>
      </c>
      <c r="AN4" s="644" t="s">
        <v>380</v>
      </c>
      <c r="AO4" s="644" t="s">
        <v>381</v>
      </c>
      <c r="AP4" s="645" t="s">
        <v>382</v>
      </c>
      <c r="AQ4" s="769" t="s">
        <v>387</v>
      </c>
    </row>
    <row r="5" spans="1:43" ht="8.25" customHeight="1" thickBot="1">
      <c r="A5" s="134"/>
      <c r="B5" s="135"/>
      <c r="C5" s="136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7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7"/>
      <c r="Z5" s="136"/>
      <c r="AA5" s="135"/>
      <c r="AB5" s="135"/>
      <c r="AC5" s="135"/>
      <c r="AD5" s="233"/>
      <c r="AE5" s="234"/>
      <c r="AF5" s="234"/>
      <c r="AG5" s="240"/>
      <c r="AH5" s="240"/>
      <c r="AI5" s="240"/>
      <c r="AJ5" s="767"/>
      <c r="AK5" s="290"/>
      <c r="AL5" s="242"/>
      <c r="AM5" s="233"/>
      <c r="AN5" s="234"/>
      <c r="AO5" s="234"/>
      <c r="AP5" s="240"/>
      <c r="AQ5" s="770"/>
    </row>
    <row r="6" spans="1:43" ht="15" customHeight="1">
      <c r="A6" s="227" t="s">
        <v>388</v>
      </c>
      <c r="B6" s="227"/>
      <c r="C6" s="301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3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3"/>
      <c r="Z6" s="549"/>
      <c r="AA6" s="550"/>
      <c r="AB6" s="550"/>
      <c r="AC6" s="551"/>
      <c r="AD6" s="513"/>
      <c r="AE6" s="247"/>
      <c r="AF6" s="247"/>
      <c r="AG6" s="505">
        <f t="shared" ref="AG6:AG11" si="0">AD6*AF6+AC6</f>
        <v>0</v>
      </c>
      <c r="AH6" s="505">
        <f t="shared" ref="AH6:AH11" si="1">AE6*AF6+AC6</f>
        <v>0</v>
      </c>
      <c r="AI6" s="505">
        <f t="shared" ref="AI6:AI11" si="2">AH6-AG6</f>
        <v>0</v>
      </c>
      <c r="AJ6" s="767"/>
      <c r="AK6" s="515"/>
      <c r="AL6" s="512"/>
      <c r="AM6" s="513"/>
      <c r="AN6" s="247"/>
      <c r="AO6" s="247"/>
      <c r="AP6" s="505">
        <f t="shared" ref="AP6:AP11" si="3">AM6*AO6</f>
        <v>0</v>
      </c>
      <c r="AQ6" s="515"/>
    </row>
    <row r="7" spans="1:43" ht="15" customHeight="1">
      <c r="A7" s="227" t="s">
        <v>389</v>
      </c>
      <c r="B7" s="227"/>
      <c r="C7" s="304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6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6"/>
      <c r="Z7" s="552"/>
      <c r="AA7" s="553"/>
      <c r="AB7" s="553"/>
      <c r="AC7" s="554"/>
      <c r="AD7" s="513"/>
      <c r="AE7" s="247"/>
      <c r="AF7" s="247"/>
      <c r="AG7" s="505">
        <f t="shared" si="0"/>
        <v>0</v>
      </c>
      <c r="AH7" s="505">
        <f t="shared" si="1"/>
        <v>0</v>
      </c>
      <c r="AI7" s="505">
        <f t="shared" si="2"/>
        <v>0</v>
      </c>
      <c r="AJ7" s="767"/>
      <c r="AK7" s="516"/>
      <c r="AL7" s="513"/>
      <c r="AM7" s="513"/>
      <c r="AN7" s="247"/>
      <c r="AO7" s="247"/>
      <c r="AP7" s="505">
        <f t="shared" si="3"/>
        <v>0</v>
      </c>
      <c r="AQ7" s="516"/>
    </row>
    <row r="8" spans="1:43" ht="15" customHeight="1">
      <c r="A8" s="227" t="s">
        <v>390</v>
      </c>
      <c r="B8" s="227"/>
      <c r="C8" s="304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6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6"/>
      <c r="Z8" s="552"/>
      <c r="AA8" s="553"/>
      <c r="AB8" s="553"/>
      <c r="AC8" s="554"/>
      <c r="AD8" s="513"/>
      <c r="AE8" s="247"/>
      <c r="AF8" s="247"/>
      <c r="AG8" s="505">
        <f t="shared" si="0"/>
        <v>0</v>
      </c>
      <c r="AH8" s="505">
        <f t="shared" si="1"/>
        <v>0</v>
      </c>
      <c r="AI8" s="505">
        <f t="shared" si="2"/>
        <v>0</v>
      </c>
      <c r="AJ8" s="767"/>
      <c r="AK8" s="516"/>
      <c r="AL8" s="513"/>
      <c r="AM8" s="513"/>
      <c r="AN8" s="247"/>
      <c r="AO8" s="247"/>
      <c r="AP8" s="505">
        <f t="shared" si="3"/>
        <v>0</v>
      </c>
      <c r="AQ8" s="516"/>
    </row>
    <row r="9" spans="1:43" ht="15" customHeight="1">
      <c r="A9" s="227" t="s">
        <v>391</v>
      </c>
      <c r="B9" s="227"/>
      <c r="C9" s="304"/>
      <c r="D9" s="305"/>
      <c r="E9" s="305"/>
      <c r="F9" s="305"/>
      <c r="G9" s="305"/>
      <c r="H9" s="305"/>
      <c r="I9" s="305"/>
      <c r="J9" s="305"/>
      <c r="K9" s="305"/>
      <c r="L9" s="305"/>
      <c r="M9" s="305"/>
      <c r="N9" s="306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6"/>
      <c r="Z9" s="552"/>
      <c r="AA9" s="553"/>
      <c r="AB9" s="553"/>
      <c r="AC9" s="554"/>
      <c r="AD9" s="513"/>
      <c r="AE9" s="247"/>
      <c r="AF9" s="247"/>
      <c r="AG9" s="505">
        <f t="shared" si="0"/>
        <v>0</v>
      </c>
      <c r="AH9" s="505">
        <f t="shared" si="1"/>
        <v>0</v>
      </c>
      <c r="AI9" s="505">
        <f t="shared" si="2"/>
        <v>0</v>
      </c>
      <c r="AJ9" s="767"/>
      <c r="AK9" s="516"/>
      <c r="AL9" s="513"/>
      <c r="AM9" s="513"/>
      <c r="AN9" s="247"/>
      <c r="AO9" s="247"/>
      <c r="AP9" s="505">
        <f t="shared" si="3"/>
        <v>0</v>
      </c>
      <c r="AQ9" s="516"/>
    </row>
    <row r="10" spans="1:43" ht="15" customHeight="1">
      <c r="A10" s="227" t="s">
        <v>392</v>
      </c>
      <c r="B10" s="227"/>
      <c r="C10" s="304"/>
      <c r="D10" s="305"/>
      <c r="E10" s="305"/>
      <c r="F10" s="305"/>
      <c r="G10" s="305"/>
      <c r="H10" s="305"/>
      <c r="I10" s="305"/>
      <c r="J10" s="305"/>
      <c r="K10" s="305"/>
      <c r="L10" s="305"/>
      <c r="M10" s="305"/>
      <c r="N10" s="306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6"/>
      <c r="Z10" s="552"/>
      <c r="AA10" s="553"/>
      <c r="AB10" s="553"/>
      <c r="AC10" s="554"/>
      <c r="AD10" s="513"/>
      <c r="AE10" s="247"/>
      <c r="AF10" s="247"/>
      <c r="AG10" s="505">
        <f t="shared" si="0"/>
        <v>0</v>
      </c>
      <c r="AH10" s="505">
        <f t="shared" si="1"/>
        <v>0</v>
      </c>
      <c r="AI10" s="505">
        <f t="shared" si="2"/>
        <v>0</v>
      </c>
      <c r="AJ10" s="767"/>
      <c r="AK10" s="516"/>
      <c r="AL10" s="513"/>
      <c r="AM10" s="513"/>
      <c r="AN10" s="247"/>
      <c r="AO10" s="247"/>
      <c r="AP10" s="505">
        <f t="shared" si="3"/>
        <v>0</v>
      </c>
      <c r="AQ10" s="516"/>
    </row>
    <row r="11" spans="1:43" ht="15.95" customHeight="1" thickBot="1">
      <c r="A11" s="228" t="s">
        <v>393</v>
      </c>
      <c r="B11" s="228"/>
      <c r="C11" s="307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9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9"/>
      <c r="Z11" s="555"/>
      <c r="AA11" s="556"/>
      <c r="AB11" s="556"/>
      <c r="AC11" s="557"/>
      <c r="AD11" s="514"/>
      <c r="AE11" s="248"/>
      <c r="AF11" s="248"/>
      <c r="AG11" s="548">
        <f t="shared" si="0"/>
        <v>0</v>
      </c>
      <c r="AH11" s="548">
        <f t="shared" si="1"/>
        <v>0</v>
      </c>
      <c r="AI11" s="548">
        <f t="shared" si="2"/>
        <v>0</v>
      </c>
      <c r="AJ11" s="768"/>
      <c r="AK11" s="517"/>
      <c r="AL11" s="514"/>
      <c r="AM11" s="514"/>
      <c r="AN11" s="248"/>
      <c r="AO11" s="248"/>
      <c r="AP11" s="505">
        <f t="shared" si="3"/>
        <v>0</v>
      </c>
      <c r="AQ11" s="517"/>
    </row>
    <row r="12" spans="1:43" ht="12.95" thickBot="1">
      <c r="A12" s="222" t="s">
        <v>342</v>
      </c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547"/>
      <c r="AA12" s="547"/>
      <c r="AB12" s="547"/>
      <c r="AC12" s="547">
        <f t="shared" ref="AC12:AI12" si="4">SUM(AC6:AC11)</f>
        <v>0</v>
      </c>
      <c r="AD12" s="236">
        <f t="shared" si="4"/>
        <v>0</v>
      </c>
      <c r="AE12" s="236">
        <f t="shared" si="4"/>
        <v>0</v>
      </c>
      <c r="AF12" s="236">
        <f t="shared" si="4"/>
        <v>0</v>
      </c>
      <c r="AG12" s="241">
        <f t="shared" si="4"/>
        <v>0</v>
      </c>
      <c r="AH12" s="241">
        <f t="shared" si="4"/>
        <v>0</v>
      </c>
      <c r="AI12" s="241">
        <f t="shared" si="4"/>
        <v>0</v>
      </c>
      <c r="AJ12" s="289">
        <v>0</v>
      </c>
      <c r="AK12" s="288"/>
      <c r="AL12" s="236"/>
      <c r="AM12" s="236">
        <f>SUM(AM6:AM11)</f>
        <v>0</v>
      </c>
      <c r="AN12" s="236">
        <f>SUM(AN6:AN11)</f>
        <v>0</v>
      </c>
      <c r="AO12" s="236">
        <f>SUM(AO6:AO11)</f>
        <v>0</v>
      </c>
      <c r="AP12" s="241">
        <f>SUM(AP6:AP11)</f>
        <v>0</v>
      </c>
      <c r="AQ12" s="241"/>
    </row>
    <row r="15" spans="1:43" ht="15.95">
      <c r="AG15" s="141"/>
    </row>
  </sheetData>
  <mergeCells count="8">
    <mergeCell ref="AL2:AQ2"/>
    <mergeCell ref="AJ4:AJ11"/>
    <mergeCell ref="AQ4:AQ5"/>
    <mergeCell ref="A1:Y1"/>
    <mergeCell ref="AD1:AK1"/>
    <mergeCell ref="Z2:AK2"/>
    <mergeCell ref="Z3:AC3"/>
    <mergeCell ref="AD3:AK3"/>
  </mergeCells>
  <conditionalFormatting sqref="C6:AC11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1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CC"/>
  </sheetPr>
  <dimension ref="A1:D14"/>
  <sheetViews>
    <sheetView view="pageBreakPreview" topLeftCell="A3" zoomScale="60" zoomScaleNormal="80" workbookViewId="0" xr3:uid="{11A3ACCB-1F19-5AC9-A611-4158731A345D}">
      <selection activeCell="B13" sqref="B13"/>
    </sheetView>
  </sheetViews>
  <sheetFormatPr defaultColWidth="8.85546875" defaultRowHeight="15"/>
  <cols>
    <col min="1" max="1" width="32.28515625" style="4" customWidth="1"/>
    <col min="2" max="2" width="66.7109375" style="4" customWidth="1"/>
    <col min="3" max="3" width="14.28515625" style="6" customWidth="1"/>
    <col min="4" max="4" width="23.42578125" style="4" customWidth="1"/>
    <col min="5" max="16384" width="8.85546875" style="4"/>
  </cols>
  <sheetData>
    <row r="1" spans="1:4" ht="17.100000000000001" thickTop="1" thickBot="1">
      <c r="A1" s="1" t="s">
        <v>208</v>
      </c>
      <c r="B1" s="2" t="s">
        <v>267</v>
      </c>
      <c r="C1" s="5" t="s">
        <v>154</v>
      </c>
      <c r="D1" s="3" t="s">
        <v>394</v>
      </c>
    </row>
    <row r="2" spans="1:4" ht="147" customHeight="1" thickTop="1" thickBot="1">
      <c r="A2" s="646" t="s">
        <v>395</v>
      </c>
      <c r="B2" s="464" t="s">
        <v>396</v>
      </c>
      <c r="C2" s="465" t="s">
        <v>397</v>
      </c>
      <c r="D2" s="179">
        <v>10</v>
      </c>
    </row>
    <row r="3" spans="1:4" ht="41.45" customHeight="1">
      <c r="A3" s="783" t="s">
        <v>398</v>
      </c>
      <c r="B3" s="794" t="s">
        <v>399</v>
      </c>
      <c r="C3" s="796" t="s">
        <v>177</v>
      </c>
      <c r="D3" s="785">
        <v>0.04</v>
      </c>
    </row>
    <row r="4" spans="1:4" ht="63" customHeight="1" thickBot="1">
      <c r="A4" s="784"/>
      <c r="B4" s="795"/>
      <c r="C4" s="797"/>
      <c r="D4" s="786"/>
    </row>
    <row r="5" spans="1:4" ht="30">
      <c r="A5" s="783" t="s">
        <v>400</v>
      </c>
      <c r="B5" s="466" t="s">
        <v>401</v>
      </c>
      <c r="C5" s="796" t="s">
        <v>177</v>
      </c>
      <c r="D5" s="787">
        <v>0.05</v>
      </c>
    </row>
    <row r="6" spans="1:4" ht="45.95" thickBot="1">
      <c r="A6" s="784"/>
      <c r="B6" s="464" t="s">
        <v>402</v>
      </c>
      <c r="C6" s="797"/>
      <c r="D6" s="788"/>
    </row>
    <row r="7" spans="1:4" ht="30.95" thickBot="1">
      <c r="A7" s="467" t="s">
        <v>403</v>
      </c>
      <c r="B7" s="468" t="s">
        <v>404</v>
      </c>
      <c r="C7" s="469" t="s">
        <v>159</v>
      </c>
      <c r="D7" s="178">
        <v>1373</v>
      </c>
    </row>
    <row r="8" spans="1:4" ht="15" customHeight="1">
      <c r="A8" s="789" t="s">
        <v>405</v>
      </c>
      <c r="B8" s="779" t="s">
        <v>406</v>
      </c>
      <c r="C8" s="798" t="s">
        <v>407</v>
      </c>
      <c r="D8" s="791">
        <f>$D$7*1.352/(D12/12)</f>
        <v>11.379592337164752</v>
      </c>
    </row>
    <row r="9" spans="1:4" ht="57" customHeight="1" thickBot="1">
      <c r="A9" s="790"/>
      <c r="B9" s="793"/>
      <c r="C9" s="799"/>
      <c r="D9" s="792"/>
    </row>
    <row r="10" spans="1:4">
      <c r="A10" s="777" t="s">
        <v>408</v>
      </c>
      <c r="B10" s="779" t="s">
        <v>409</v>
      </c>
      <c r="C10" s="775" t="s">
        <v>407</v>
      </c>
      <c r="D10" s="781">
        <v>5.55</v>
      </c>
    </row>
    <row r="11" spans="1:4" ht="20.25" customHeight="1" thickBot="1">
      <c r="A11" s="778"/>
      <c r="B11" s="780"/>
      <c r="C11" s="776"/>
      <c r="D11" s="782"/>
    </row>
    <row r="12" spans="1:4" ht="72" customHeight="1" thickBot="1">
      <c r="A12" s="470" t="s">
        <v>410</v>
      </c>
      <c r="B12" s="468" t="s">
        <v>411</v>
      </c>
      <c r="C12" s="471" t="s">
        <v>412</v>
      </c>
      <c r="D12" s="473">
        <v>1957.5</v>
      </c>
    </row>
    <row r="13" spans="1:4" ht="72" customHeight="1" thickBot="1">
      <c r="A13" s="470" t="s">
        <v>413</v>
      </c>
      <c r="B13" s="468" t="s">
        <v>414</v>
      </c>
      <c r="C13" s="471" t="s">
        <v>412</v>
      </c>
      <c r="D13" s="472">
        <v>2088</v>
      </c>
    </row>
    <row r="14" spans="1:4" ht="21" customHeight="1" thickBot="1">
      <c r="A14" s="470" t="s">
        <v>110</v>
      </c>
      <c r="B14" s="470" t="s">
        <v>415</v>
      </c>
      <c r="C14" s="471" t="s">
        <v>397</v>
      </c>
      <c r="D14" s="102">
        <v>2019</v>
      </c>
    </row>
  </sheetData>
  <mergeCells count="15">
    <mergeCell ref="C10:C11"/>
    <mergeCell ref="A10:A11"/>
    <mergeCell ref="B10:B11"/>
    <mergeCell ref="D10:D11"/>
    <mergeCell ref="A3:A4"/>
    <mergeCell ref="D3:D4"/>
    <mergeCell ref="A5:A6"/>
    <mergeCell ref="D5:D6"/>
    <mergeCell ref="A8:A9"/>
    <mergeCell ref="D8:D9"/>
    <mergeCell ref="B8:B9"/>
    <mergeCell ref="B3:B4"/>
    <mergeCell ref="C3:C4"/>
    <mergeCell ref="C8:C9"/>
    <mergeCell ref="C5:C6"/>
  </mergeCells>
  <pageMargins left="0.7" right="0.7" top="0.75" bottom="0.75" header="0.3" footer="0.3"/>
  <pageSetup paperSize="9" scale="6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24C89-AE07-472E-80B6-C1C3FA6B1F03}">
  <sheetPr>
    <tabColor rgb="FFFFFFCC"/>
  </sheetPr>
  <dimension ref="A1:W359"/>
  <sheetViews>
    <sheetView view="pageBreakPreview" topLeftCell="O205" zoomScale="55" zoomScaleNormal="60" zoomScaleSheetLayoutView="55" workbookViewId="0" xr3:uid="{92ACE826-5C1A-5314-926E-C833DA8EEBF1}">
      <selection activeCell="T215" sqref="T215"/>
    </sheetView>
  </sheetViews>
  <sheetFormatPr defaultColWidth="8.85546875" defaultRowHeight="15"/>
  <cols>
    <col min="15" max="15" width="220.85546875" customWidth="1"/>
  </cols>
  <sheetData>
    <row r="1" spans="1:18" s="596" customFormat="1" ht="26.1">
      <c r="A1" s="596" t="s">
        <v>416</v>
      </c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</row>
    <row r="2" spans="1:18" s="596" customFormat="1" ht="26.1">
      <c r="A2" s="596" t="s">
        <v>417</v>
      </c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</row>
    <row r="3" spans="1:18" s="596" customFormat="1" ht="26.1">
      <c r="A3" s="598" t="s">
        <v>107</v>
      </c>
      <c r="B3" s="596" t="s">
        <v>418</v>
      </c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7" t="s">
        <v>108</v>
      </c>
      <c r="R3" s="596" t="s">
        <v>418</v>
      </c>
    </row>
    <row r="34" spans="1:2" ht="128.1" customHeight="1"/>
    <row r="35" spans="1:2" s="596" customFormat="1" ht="26.1">
      <c r="A35" s="598" t="s">
        <v>107</v>
      </c>
      <c r="B35" s="596" t="s">
        <v>419</v>
      </c>
    </row>
    <row r="93" spans="1:19" s="596" customFormat="1" ht="26.1">
      <c r="A93" s="598" t="s">
        <v>107</v>
      </c>
      <c r="B93" s="596" t="s">
        <v>420</v>
      </c>
      <c r="Q93" s="600"/>
      <c r="R93" s="597" t="s">
        <v>108</v>
      </c>
      <c r="S93" s="596" t="s">
        <v>421</v>
      </c>
    </row>
    <row r="150" spans="1:23" s="596" customFormat="1" ht="26.1">
      <c r="A150" s="598" t="s">
        <v>107</v>
      </c>
      <c r="B150" s="596" t="s">
        <v>422</v>
      </c>
      <c r="Q150" s="600"/>
      <c r="R150" s="601"/>
      <c r="S150" s="601"/>
      <c r="T150" s="601"/>
      <c r="U150" s="601"/>
      <c r="V150" s="601"/>
      <c r="W150" s="601"/>
    </row>
    <row r="202" spans="1:23" s="596" customFormat="1" ht="26.1">
      <c r="A202" s="598" t="s">
        <v>107</v>
      </c>
      <c r="B202" s="596" t="s">
        <v>423</v>
      </c>
      <c r="Q202" s="600"/>
      <c r="R202" s="601"/>
      <c r="S202" s="601"/>
      <c r="T202" s="601"/>
      <c r="U202" s="601"/>
      <c r="V202" s="601"/>
      <c r="W202" s="601"/>
    </row>
    <row r="259" spans="1:18" s="596" customFormat="1" ht="26.1">
      <c r="A259" s="598" t="s">
        <v>107</v>
      </c>
      <c r="B259" s="596" t="s">
        <v>424</v>
      </c>
      <c r="Q259" s="597" t="s">
        <v>108</v>
      </c>
      <c r="R259" s="596" t="s">
        <v>424</v>
      </c>
    </row>
    <row r="312" spans="1:18" s="596" customFormat="1" ht="26.1">
      <c r="A312" s="598" t="s">
        <v>107</v>
      </c>
      <c r="B312" s="596" t="s">
        <v>425</v>
      </c>
      <c r="Q312" s="597" t="s">
        <v>108</v>
      </c>
      <c r="R312" s="596" t="s">
        <v>425</v>
      </c>
    </row>
    <row r="359" spans="1:18" s="596" customFormat="1" ht="26.1">
      <c r="A359" s="598" t="s">
        <v>107</v>
      </c>
      <c r="B359" s="596" t="s">
        <v>426</v>
      </c>
      <c r="Q359" s="597" t="s">
        <v>108</v>
      </c>
      <c r="R359" s="596" t="s">
        <v>426</v>
      </c>
    </row>
  </sheetData>
  <pageMargins left="0.7" right="0.7" top="0.75" bottom="0.75" header="0.3" footer="0.3"/>
  <pageSetup paperSize="9" scale="33" orientation="portrait" r:id="rId1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"/>
  <sheetViews>
    <sheetView view="pageBreakPreview" zoomScale="60" zoomScaleNormal="100" workbookViewId="0" xr3:uid="{958C4451-9541-5A59-BF78-D2F731DF1C81}"/>
  </sheetViews>
  <sheetFormatPr defaultColWidth="8.85546875" defaultRowHeight="15"/>
  <cols>
    <col min="1" max="1" width="25.42578125" customWidth="1"/>
    <col min="2" max="2" width="79" bestFit="1" customWidth="1"/>
    <col min="3" max="3" width="70" bestFit="1" customWidth="1"/>
  </cols>
  <sheetData>
    <row r="1" spans="1:3" ht="20.100000000000001" thickBot="1">
      <c r="A1" s="287" t="s">
        <v>21</v>
      </c>
    </row>
    <row r="2" spans="1:3" ht="15.95" thickBot="1">
      <c r="A2" s="295" t="s">
        <v>22</v>
      </c>
      <c r="B2" s="296" t="s">
        <v>23</v>
      </c>
      <c r="C2" s="297" t="s">
        <v>24</v>
      </c>
    </row>
    <row r="3" spans="1:3">
      <c r="A3" s="311" t="s">
        <v>25</v>
      </c>
      <c r="B3" s="298" t="s">
        <v>26</v>
      </c>
      <c r="C3" s="226" t="s">
        <v>27</v>
      </c>
    </row>
    <row r="4" spans="1:3">
      <c r="A4" s="312" t="s">
        <v>28</v>
      </c>
      <c r="B4" s="299" t="s">
        <v>29</v>
      </c>
      <c r="C4" s="300" t="s">
        <v>30</v>
      </c>
    </row>
    <row r="5" spans="1:3">
      <c r="A5" s="312" t="s">
        <v>31</v>
      </c>
      <c r="B5" s="299" t="s">
        <v>32</v>
      </c>
      <c r="C5" s="300" t="s">
        <v>30</v>
      </c>
    </row>
    <row r="6" spans="1:3">
      <c r="A6" s="312" t="s">
        <v>33</v>
      </c>
      <c r="B6" s="299" t="s">
        <v>34</v>
      </c>
      <c r="C6" s="224" t="s">
        <v>35</v>
      </c>
    </row>
    <row r="7" spans="1:3">
      <c r="A7" s="312" t="s">
        <v>36</v>
      </c>
      <c r="B7" s="299" t="s">
        <v>37</v>
      </c>
      <c r="C7" s="300" t="s">
        <v>30</v>
      </c>
    </row>
    <row r="8" spans="1:3">
      <c r="A8" s="312" t="s">
        <v>38</v>
      </c>
      <c r="B8" s="299" t="s">
        <v>39</v>
      </c>
      <c r="C8" s="224" t="s">
        <v>40</v>
      </c>
    </row>
    <row r="9" spans="1:3">
      <c r="A9" s="312" t="s">
        <v>41</v>
      </c>
      <c r="B9" s="299" t="s">
        <v>42</v>
      </c>
      <c r="C9" s="300" t="s">
        <v>30</v>
      </c>
    </row>
    <row r="10" spans="1:3">
      <c r="A10" s="312" t="s">
        <v>43</v>
      </c>
      <c r="B10" s="299" t="s">
        <v>44</v>
      </c>
      <c r="C10" s="224" t="s">
        <v>40</v>
      </c>
    </row>
    <row r="11" spans="1:3">
      <c r="A11" s="312" t="s">
        <v>45</v>
      </c>
      <c r="B11" s="299" t="s">
        <v>46</v>
      </c>
      <c r="C11" s="224" t="s">
        <v>40</v>
      </c>
    </row>
    <row r="12" spans="1:3">
      <c r="A12" s="312" t="s">
        <v>47</v>
      </c>
      <c r="B12" s="299" t="s">
        <v>48</v>
      </c>
      <c r="C12" s="224" t="s">
        <v>40</v>
      </c>
    </row>
    <row r="13" spans="1:3">
      <c r="A13" s="312" t="s">
        <v>49</v>
      </c>
      <c r="B13" s="299" t="s">
        <v>50</v>
      </c>
      <c r="C13" s="224" t="s">
        <v>40</v>
      </c>
    </row>
    <row r="14" spans="1:3">
      <c r="A14" s="312" t="s">
        <v>51</v>
      </c>
      <c r="B14" s="299" t="s">
        <v>52</v>
      </c>
      <c r="C14" s="224" t="s">
        <v>53</v>
      </c>
    </row>
    <row r="15" spans="1:3">
      <c r="A15" s="312" t="s">
        <v>54</v>
      </c>
      <c r="B15" s="299" t="s">
        <v>55</v>
      </c>
      <c r="C15" s="224" t="s">
        <v>40</v>
      </c>
    </row>
    <row r="16" spans="1:3">
      <c r="A16" s="312" t="s">
        <v>56</v>
      </c>
      <c r="B16" s="299" t="s">
        <v>57</v>
      </c>
      <c r="C16" s="224" t="s">
        <v>58</v>
      </c>
    </row>
    <row r="17" spans="1:3">
      <c r="A17" s="312" t="s">
        <v>59</v>
      </c>
      <c r="B17" s="299" t="s">
        <v>60</v>
      </c>
      <c r="C17" s="224" t="s">
        <v>61</v>
      </c>
    </row>
    <row r="18" spans="1:3" ht="32.1">
      <c r="A18" s="312" t="s">
        <v>62</v>
      </c>
      <c r="B18" s="310" t="s">
        <v>63</v>
      </c>
      <c r="C18" s="313" t="s">
        <v>64</v>
      </c>
    </row>
    <row r="19" spans="1:3">
      <c r="A19" s="312" t="s">
        <v>65</v>
      </c>
      <c r="B19" s="299" t="s">
        <v>66</v>
      </c>
      <c r="C19" s="224" t="s">
        <v>67</v>
      </c>
    </row>
    <row r="20" spans="1:3">
      <c r="A20" s="312" t="s">
        <v>68</v>
      </c>
      <c r="B20" s="299" t="s">
        <v>69</v>
      </c>
      <c r="C20" s="224" t="s">
        <v>70</v>
      </c>
    </row>
    <row r="21" spans="1:3">
      <c r="A21" s="312" t="s">
        <v>71</v>
      </c>
      <c r="B21" s="299" t="s">
        <v>72</v>
      </c>
      <c r="C21" s="224" t="s">
        <v>70</v>
      </c>
    </row>
  </sheetData>
  <sheetProtection password="C3D8" sheet="1" objects="1" scenarios="1"/>
  <hyperlinks>
    <hyperlink ref="A3" location="Sumarizácia!R1C1" display="Sumarizácia" xr:uid="{00000000-0004-0000-0100-000000000000}"/>
    <hyperlink ref="A4" location="'CBA - Agendové IS'!R1C1" display="CBA" xr:uid="{00000000-0004-0000-0100-000001000000}"/>
    <hyperlink ref="A5" location="'Analyza citlivosti - AgendovéIS'!R1C1" display="Analyza citlivosti" xr:uid="{00000000-0004-0000-0100-000002000000}"/>
    <hyperlink ref="A6" location="'Prínosy - Agendové IS'!R1C1" display="Prínosy" xr:uid="{00000000-0004-0000-0100-000003000000}"/>
    <hyperlink ref="A7" location="'Výdavky - Agendové IS'!R1C1" display="Výdavky" xr:uid="{00000000-0004-0000-0100-000004000000}"/>
    <hyperlink ref="A8" location="'Parametre - Agendové IS'!R1C1" display="Parametre" xr:uid="{00000000-0004-0000-0100-000005000000}"/>
    <hyperlink ref="A9" location="TCO!R1C1" display="TCO" xr:uid="{00000000-0004-0000-0100-000006000000}"/>
    <hyperlink ref="A10" location="'TCO Alt. 1 - SW'!R1C1" display="TCO Alt. 1 - SW" xr:uid="{00000000-0004-0000-0100-000007000000}"/>
    <hyperlink ref="A11" location="'TCO Alt. 1 - HW'!R1C1" display="TCO Alt. 1 - HW" xr:uid="{00000000-0004-0000-0100-000008000000}"/>
    <hyperlink ref="A12" location="'TCO Alt. 2 - SW'!R1C1" display="TCO Alt. 2 - SW" xr:uid="{00000000-0004-0000-0100-000009000000}"/>
    <hyperlink ref="A13" location="'TCO Alt. 2 - HW'!R1C1" display="TCO Alt. 2 - HW" xr:uid="{00000000-0004-0000-0100-00000A000000}"/>
    <hyperlink ref="A14" location="'Rozpočet - vývoj Aplikácií'!R1C1" display="Rozpočet - vývoj aplikácii" xr:uid="{00000000-0004-0000-0100-00000B000000}"/>
    <hyperlink ref="A16" location="'Slepý rozpočet'!R1C1" display="Slepý rozpočet" xr:uid="{00000000-0004-0000-0100-00000C000000}"/>
    <hyperlink ref="A17" location="Faktory!R1C1" display="Faktory" xr:uid="{00000000-0004-0000-0100-00000D000000}"/>
    <hyperlink ref="A18" location="'Meranie prínosov'!R1C1" display="Meranie prínosov" xr:uid="{00000000-0004-0000-0100-00000E000000}"/>
    <hyperlink ref="A19" location="'Procesné mapy'!R1C1" display="Procesné mapy" xr:uid="{00000000-0004-0000-0100-00000F000000}"/>
    <hyperlink ref="A20" location="'Procesy - AS IS'!R1C1" display="Procesy AS IS" xr:uid="{00000000-0004-0000-0100-000010000000}"/>
    <hyperlink ref="A21" location="'Procesy - TO BE'!R1C1" display="Procesy TO BE" xr:uid="{00000000-0004-0000-0100-000011000000}"/>
    <hyperlink ref="A15" location="'Rozpočet - HW a licencie'!R1C1" display="Rozpočet - HW a licencie" xr:uid="{00000000-0004-0000-0100-000012000000}"/>
  </hyperlinks>
  <pageMargins left="0.7" right="0.7" top="0.75" bottom="0.75" header="0.3" footer="0.3"/>
  <pageSetup paperSize="9"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CC"/>
  </sheetPr>
  <dimension ref="A1:AC70"/>
  <sheetViews>
    <sheetView view="pageBreakPreview" topLeftCell="A30" zoomScale="60" zoomScaleNormal="80" workbookViewId="0" xr3:uid="{CF366857-BBDD-5199-9BC9-FF52903B0715}">
      <selection activeCell="C39" sqref="C39"/>
    </sheetView>
  </sheetViews>
  <sheetFormatPr defaultColWidth="8.85546875" defaultRowHeight="15"/>
  <cols>
    <col min="1" max="1" width="21.42578125" customWidth="1"/>
    <col min="2" max="2" width="14.42578125" customWidth="1"/>
    <col min="3" max="3" width="14.28515625" style="257" customWidth="1"/>
    <col min="4" max="4" width="14.140625" style="257" customWidth="1"/>
    <col min="5" max="5" width="14.85546875" style="257" customWidth="1"/>
    <col min="6" max="6" width="11.85546875" style="257" customWidth="1"/>
    <col min="7" max="7" width="15.85546875" style="257" customWidth="1"/>
    <col min="8" max="8" width="13.42578125" style="257" customWidth="1"/>
    <col min="9" max="9" width="10" style="257" customWidth="1"/>
    <col min="10" max="28" width="8.42578125" style="257" customWidth="1"/>
  </cols>
  <sheetData>
    <row r="1" spans="1:29" ht="15.95" thickBot="1"/>
    <row r="2" spans="1:29" ht="48.75" customHeight="1" thickBot="1">
      <c r="A2" s="258" t="s">
        <v>427</v>
      </c>
      <c r="B2" s="275" t="s">
        <v>428</v>
      </c>
      <c r="C2" s="273" t="s">
        <v>429</v>
      </c>
      <c r="D2" s="259" t="s">
        <v>430</v>
      </c>
      <c r="E2" s="259" t="s">
        <v>431</v>
      </c>
      <c r="F2" s="280" t="s">
        <v>97</v>
      </c>
      <c r="G2" s="275" t="s">
        <v>432</v>
      </c>
      <c r="H2" s="284" t="s">
        <v>429</v>
      </c>
      <c r="I2" s="260" t="s">
        <v>97</v>
      </c>
      <c r="O2" s="261"/>
      <c r="P2" s="262"/>
      <c r="Q2" s="262"/>
      <c r="R2" s="101"/>
      <c r="S2" s="101"/>
      <c r="T2" s="101"/>
      <c r="U2" s="101"/>
      <c r="V2" s="101"/>
      <c r="W2" s="101"/>
      <c r="X2" s="101"/>
      <c r="Y2" s="262"/>
      <c r="Z2" s="262"/>
      <c r="AA2" s="101"/>
      <c r="AB2" s="101"/>
      <c r="AC2" s="101"/>
    </row>
    <row r="3" spans="1:29" ht="15.95">
      <c r="A3" s="263" t="s">
        <v>122</v>
      </c>
      <c r="B3" s="276"/>
      <c r="C3" s="274"/>
      <c r="D3" s="270"/>
      <c r="E3" s="270"/>
      <c r="F3" s="281"/>
      <c r="G3" s="285"/>
      <c r="H3" s="274"/>
      <c r="I3" s="270"/>
      <c r="O3" s="264"/>
      <c r="P3"/>
      <c r="AC3" s="257"/>
    </row>
    <row r="4" spans="1:29" ht="15.95">
      <c r="A4" s="265" t="s">
        <v>433</v>
      </c>
      <c r="B4" s="277" t="s">
        <v>434</v>
      </c>
      <c r="C4" s="272"/>
      <c r="D4" s="271"/>
      <c r="E4" s="271"/>
      <c r="F4" s="282"/>
      <c r="G4" s="278"/>
      <c r="H4" s="272"/>
      <c r="I4" s="271"/>
      <c r="O4" s="264"/>
      <c r="P4" s="266"/>
      <c r="AC4" s="257"/>
    </row>
    <row r="5" spans="1:29" ht="15.75" customHeight="1">
      <c r="A5" s="267" t="s">
        <v>435</v>
      </c>
      <c r="B5" s="278"/>
      <c r="C5" s="272"/>
      <c r="D5" s="271"/>
      <c r="E5" s="271"/>
      <c r="F5" s="282"/>
      <c r="G5" s="278"/>
      <c r="H5" s="272"/>
      <c r="I5" s="271"/>
      <c r="O5" s="264"/>
      <c r="AC5" s="257"/>
    </row>
    <row r="6" spans="1:29" ht="15.95">
      <c r="A6" s="267" t="s">
        <v>436</v>
      </c>
      <c r="B6" s="278"/>
      <c r="C6" s="272"/>
      <c r="D6" s="271"/>
      <c r="E6" s="271"/>
      <c r="F6" s="282"/>
      <c r="G6" s="278"/>
      <c r="H6" s="272"/>
      <c r="I6" s="271"/>
      <c r="O6" s="264"/>
      <c r="AC6" s="257"/>
    </row>
    <row r="7" spans="1:29" ht="15.95">
      <c r="A7" s="267" t="s">
        <v>437</v>
      </c>
      <c r="B7" s="278"/>
      <c r="C7" s="272"/>
      <c r="D7" s="271"/>
      <c r="E7" s="271"/>
      <c r="F7" s="282"/>
      <c r="G7" s="278"/>
      <c r="H7" s="272"/>
      <c r="I7" s="271"/>
      <c r="O7" s="264"/>
      <c r="AC7" s="257"/>
    </row>
    <row r="8" spans="1:29" ht="15.95">
      <c r="A8" s="267" t="s">
        <v>438</v>
      </c>
      <c r="B8" s="278"/>
      <c r="C8" s="272"/>
      <c r="D8" s="271"/>
      <c r="E8" s="271"/>
      <c r="F8" s="282"/>
      <c r="G8" s="278"/>
      <c r="H8" s="272"/>
      <c r="I8" s="271"/>
      <c r="O8" s="264"/>
      <c r="AC8" s="257"/>
    </row>
    <row r="9" spans="1:29" ht="15.95">
      <c r="A9" s="267" t="s">
        <v>439</v>
      </c>
      <c r="B9" s="278"/>
      <c r="C9" s="272"/>
      <c r="D9" s="271"/>
      <c r="E9" s="271"/>
      <c r="F9" s="282"/>
      <c r="G9" s="278"/>
      <c r="H9" s="272"/>
      <c r="I9" s="271"/>
      <c r="O9" s="264"/>
      <c r="AC9" s="257"/>
    </row>
    <row r="10" spans="1:29" ht="15.95">
      <c r="A10" s="267" t="s">
        <v>440</v>
      </c>
      <c r="B10" s="278"/>
      <c r="C10" s="272"/>
      <c r="D10" s="271"/>
      <c r="E10" s="271"/>
      <c r="F10" s="282"/>
      <c r="G10" s="278"/>
      <c r="H10" s="272"/>
      <c r="I10" s="271"/>
      <c r="O10" s="264"/>
      <c r="AC10" s="257"/>
    </row>
    <row r="11" spans="1:29" ht="15.95">
      <c r="A11" s="267" t="s">
        <v>441</v>
      </c>
      <c r="B11" s="278"/>
      <c r="C11" s="272"/>
      <c r="D11" s="271"/>
      <c r="E11" s="271"/>
      <c r="F11" s="282"/>
      <c r="G11" s="278"/>
      <c r="H11" s="272"/>
      <c r="I11" s="271"/>
      <c r="O11" s="264"/>
      <c r="AC11" s="257"/>
    </row>
    <row r="12" spans="1:29" ht="15.95">
      <c r="A12" s="267" t="s">
        <v>442</v>
      </c>
      <c r="B12" s="278"/>
      <c r="C12" s="272"/>
      <c r="D12" s="271"/>
      <c r="E12" s="271"/>
      <c r="F12" s="282"/>
      <c r="G12" s="278"/>
      <c r="H12" s="272"/>
      <c r="I12" s="271"/>
      <c r="O12" s="264"/>
      <c r="AC12" s="257"/>
    </row>
    <row r="13" spans="1:29" ht="15.95">
      <c r="A13" s="267" t="s">
        <v>443</v>
      </c>
      <c r="B13" s="278"/>
      <c r="C13" s="272"/>
      <c r="D13" s="271"/>
      <c r="E13" s="271"/>
      <c r="F13" s="282"/>
      <c r="G13" s="278"/>
      <c r="H13" s="272"/>
      <c r="I13" s="271"/>
      <c r="O13" s="264"/>
      <c r="AC13" s="257"/>
    </row>
    <row r="14" spans="1:29" ht="15.95">
      <c r="A14" s="267" t="s">
        <v>444</v>
      </c>
      <c r="B14" s="278"/>
      <c r="C14" s="272"/>
      <c r="D14" s="271"/>
      <c r="E14" s="271"/>
      <c r="F14" s="282"/>
      <c r="G14" s="278"/>
      <c r="H14" s="272"/>
      <c r="I14" s="271"/>
      <c r="O14" s="264"/>
      <c r="AC14" s="257"/>
    </row>
    <row r="15" spans="1:29" ht="15.95">
      <c r="A15" s="267" t="s">
        <v>445</v>
      </c>
      <c r="B15" s="278"/>
      <c r="C15" s="272"/>
      <c r="D15" s="271"/>
      <c r="E15" s="271"/>
      <c r="F15" s="282"/>
      <c r="G15" s="278"/>
      <c r="H15" s="272"/>
      <c r="I15" s="271"/>
      <c r="O15" s="264"/>
      <c r="AC15" s="257"/>
    </row>
    <row r="16" spans="1:29" ht="15.95">
      <c r="A16" s="267" t="s">
        <v>446</v>
      </c>
      <c r="B16" s="278"/>
      <c r="C16" s="272"/>
      <c r="D16" s="271"/>
      <c r="E16" s="271"/>
      <c r="F16" s="282"/>
      <c r="G16" s="278"/>
      <c r="H16" s="272"/>
      <c r="I16" s="271"/>
      <c r="O16" s="264"/>
      <c r="AC16" s="257"/>
    </row>
    <row r="17" spans="1:29" ht="15.95">
      <c r="A17" s="267" t="s">
        <v>447</v>
      </c>
      <c r="B17" s="278"/>
      <c r="C17" s="272"/>
      <c r="D17" s="271"/>
      <c r="E17" s="271"/>
      <c r="F17" s="282"/>
      <c r="G17" s="278"/>
      <c r="H17" s="272"/>
      <c r="I17" s="271"/>
      <c r="O17" s="264"/>
      <c r="AC17" s="257"/>
    </row>
    <row r="18" spans="1:29" ht="15.95">
      <c r="A18" s="267" t="s">
        <v>448</v>
      </c>
      <c r="B18" s="278"/>
      <c r="C18" s="272"/>
      <c r="D18" s="271"/>
      <c r="E18" s="271"/>
      <c r="F18" s="282"/>
      <c r="G18" s="278"/>
      <c r="H18" s="272"/>
      <c r="I18" s="271"/>
      <c r="O18" s="264"/>
      <c r="AC18" s="257"/>
    </row>
    <row r="19" spans="1:29" ht="15.95">
      <c r="A19" s="267" t="s">
        <v>449</v>
      </c>
      <c r="B19" s="278"/>
      <c r="C19" s="272"/>
      <c r="D19" s="271"/>
      <c r="E19" s="271"/>
      <c r="F19" s="282"/>
      <c r="G19" s="278"/>
      <c r="H19" s="272"/>
      <c r="I19" s="271"/>
      <c r="O19" s="264"/>
      <c r="AC19" s="257"/>
    </row>
    <row r="20" spans="1:29" ht="15.95">
      <c r="A20" s="267" t="s">
        <v>450</v>
      </c>
      <c r="B20" s="278"/>
      <c r="C20" s="272"/>
      <c r="D20" s="271"/>
      <c r="E20" s="271"/>
      <c r="F20" s="282"/>
      <c r="G20" s="278"/>
      <c r="H20" s="272"/>
      <c r="I20" s="271"/>
      <c r="O20" s="264"/>
      <c r="AC20" s="257"/>
    </row>
    <row r="21" spans="1:29" ht="15.95">
      <c r="A21" s="267" t="s">
        <v>451</v>
      </c>
      <c r="B21" s="278"/>
      <c r="C21" s="272"/>
      <c r="D21" s="271"/>
      <c r="E21" s="271"/>
      <c r="F21" s="282"/>
      <c r="G21" s="278"/>
      <c r="H21" s="272"/>
      <c r="I21" s="271"/>
      <c r="O21" s="264"/>
      <c r="AC21" s="257"/>
    </row>
    <row r="22" spans="1:29" ht="15.95">
      <c r="A22" s="267" t="s">
        <v>452</v>
      </c>
      <c r="B22" s="278"/>
      <c r="C22" s="272"/>
      <c r="D22" s="271"/>
      <c r="E22" s="271"/>
      <c r="F22" s="282"/>
      <c r="G22" s="278"/>
      <c r="H22" s="272"/>
      <c r="I22" s="271"/>
      <c r="O22" s="264"/>
      <c r="AC22" s="257"/>
    </row>
    <row r="23" spans="1:29" ht="15.95">
      <c r="A23" s="267" t="s">
        <v>453</v>
      </c>
      <c r="B23" s="278"/>
      <c r="C23" s="272"/>
      <c r="D23" s="271"/>
      <c r="E23" s="271"/>
      <c r="F23" s="282"/>
      <c r="G23" s="278"/>
      <c r="H23" s="272"/>
      <c r="I23" s="271"/>
      <c r="O23" s="264"/>
      <c r="AC23" s="257"/>
    </row>
    <row r="24" spans="1:29" ht="15.95">
      <c r="A24" s="267" t="s">
        <v>454</v>
      </c>
      <c r="B24" s="278"/>
      <c r="C24" s="272"/>
      <c r="D24" s="271"/>
      <c r="E24" s="271"/>
      <c r="F24" s="282"/>
      <c r="G24" s="278"/>
      <c r="H24" s="272"/>
      <c r="I24" s="271"/>
      <c r="O24" s="264"/>
      <c r="AC24" s="257"/>
    </row>
    <row r="25" spans="1:29" ht="15.95">
      <c r="A25" s="267" t="s">
        <v>455</v>
      </c>
      <c r="B25" s="278"/>
      <c r="C25" s="272"/>
      <c r="D25" s="271"/>
      <c r="E25" s="271"/>
      <c r="F25" s="282"/>
      <c r="G25" s="278"/>
      <c r="H25" s="272"/>
      <c r="I25" s="271"/>
      <c r="O25" s="264"/>
      <c r="AC25" s="257"/>
    </row>
    <row r="26" spans="1:29" ht="15.95">
      <c r="A26" s="267" t="s">
        <v>456</v>
      </c>
      <c r="B26" s="278"/>
      <c r="C26" s="272"/>
      <c r="D26" s="271"/>
      <c r="E26" s="271"/>
      <c r="F26" s="282"/>
      <c r="G26" s="278"/>
      <c r="H26" s="272"/>
      <c r="I26" s="271"/>
      <c r="O26" s="264"/>
      <c r="AC26" s="257"/>
    </row>
    <row r="27" spans="1:29" ht="15.95">
      <c r="A27" s="267" t="s">
        <v>457</v>
      </c>
      <c r="B27" s="278"/>
      <c r="C27" s="272"/>
      <c r="D27" s="271"/>
      <c r="E27" s="271"/>
      <c r="F27" s="282"/>
      <c r="G27" s="278"/>
      <c r="H27" s="272"/>
      <c r="I27" s="271"/>
      <c r="O27" s="264"/>
      <c r="AC27" s="257"/>
    </row>
    <row r="28" spans="1:29" ht="15.95">
      <c r="A28" s="267" t="s">
        <v>458</v>
      </c>
      <c r="B28" s="278"/>
      <c r="C28" s="272"/>
      <c r="D28" s="271"/>
      <c r="E28" s="271"/>
      <c r="F28" s="282"/>
      <c r="G28" s="278"/>
      <c r="H28" s="272"/>
      <c r="I28" s="271"/>
      <c r="O28" s="264"/>
      <c r="AC28" s="257"/>
    </row>
    <row r="29" spans="1:29" ht="15.95">
      <c r="A29" s="267" t="s">
        <v>459</v>
      </c>
      <c r="B29" s="278"/>
      <c r="C29" s="272"/>
      <c r="D29" s="271"/>
      <c r="E29" s="271"/>
      <c r="F29" s="282"/>
      <c r="G29" s="278"/>
      <c r="H29" s="272"/>
      <c r="I29" s="271"/>
      <c r="O29" s="264"/>
      <c r="AC29" s="257"/>
    </row>
    <row r="30" spans="1:29" ht="15.95">
      <c r="A30" s="267" t="s">
        <v>460</v>
      </c>
      <c r="B30" s="278"/>
      <c r="C30" s="272"/>
      <c r="D30" s="271"/>
      <c r="E30" s="271"/>
      <c r="F30" s="282"/>
      <c r="G30" s="278"/>
      <c r="H30" s="272"/>
      <c r="I30" s="271"/>
      <c r="O30" s="264"/>
      <c r="AC30" s="257"/>
    </row>
    <row r="31" spans="1:29" ht="15.95">
      <c r="A31" s="267" t="s">
        <v>461</v>
      </c>
      <c r="B31" s="278"/>
      <c r="C31" s="272"/>
      <c r="D31" s="271"/>
      <c r="E31" s="271"/>
      <c r="F31" s="282"/>
      <c r="G31" s="278"/>
      <c r="H31" s="272"/>
      <c r="I31" s="271"/>
      <c r="O31" s="264"/>
      <c r="AC31" s="257"/>
    </row>
    <row r="32" spans="1:29" ht="15.95">
      <c r="A32" s="267" t="s">
        <v>462</v>
      </c>
      <c r="B32" s="278"/>
      <c r="C32" s="272"/>
      <c r="D32" s="271"/>
      <c r="E32" s="271"/>
      <c r="F32" s="282"/>
      <c r="G32" s="278"/>
      <c r="H32" s="272"/>
      <c r="I32" s="271"/>
      <c r="O32" s="264"/>
      <c r="AC32" s="257"/>
    </row>
    <row r="33" spans="1:29" ht="15.95">
      <c r="A33" s="267" t="s">
        <v>463</v>
      </c>
      <c r="B33" s="278"/>
      <c r="C33" s="272"/>
      <c r="D33" s="271"/>
      <c r="E33" s="271"/>
      <c r="F33" s="282"/>
      <c r="G33" s="278"/>
      <c r="H33" s="272"/>
      <c r="I33" s="271"/>
      <c r="O33" s="264"/>
      <c r="AC33" s="257"/>
    </row>
    <row r="34" spans="1:29" ht="17.100000000000001" thickBot="1">
      <c r="A34" s="268" t="s">
        <v>464</v>
      </c>
      <c r="B34" s="279"/>
      <c r="C34" s="269"/>
      <c r="D34" s="224"/>
      <c r="E34" s="224"/>
      <c r="F34" s="283"/>
      <c r="G34" s="279"/>
      <c r="H34" s="269"/>
      <c r="I34" s="224"/>
      <c r="O34" s="264"/>
      <c r="P34"/>
      <c r="Q34"/>
      <c r="R34"/>
      <c r="S34"/>
      <c r="T34"/>
      <c r="U34"/>
      <c r="V34"/>
      <c r="W34"/>
      <c r="X34"/>
      <c r="Y34"/>
      <c r="Z34"/>
      <c r="AA34"/>
      <c r="AB34"/>
    </row>
    <row r="37" spans="1:29" ht="15.95" thickBot="1"/>
    <row r="38" spans="1:29" ht="33" thickBot="1">
      <c r="A38" s="258" t="s">
        <v>465</v>
      </c>
      <c r="B38" s="275" t="s">
        <v>428</v>
      </c>
      <c r="C38" s="273" t="s">
        <v>429</v>
      </c>
      <c r="D38" s="259" t="s">
        <v>430</v>
      </c>
      <c r="E38" s="259" t="s">
        <v>431</v>
      </c>
      <c r="F38" s="280" t="s">
        <v>97</v>
      </c>
      <c r="G38" s="275" t="s">
        <v>432</v>
      </c>
      <c r="H38" s="284" t="s">
        <v>429</v>
      </c>
      <c r="I38" s="260" t="s">
        <v>97</v>
      </c>
    </row>
    <row r="39" spans="1:29" ht="15.95">
      <c r="A39" s="263" t="s">
        <v>122</v>
      </c>
      <c r="B39" s="276"/>
      <c r="C39" s="274"/>
      <c r="D39" s="270"/>
      <c r="E39" s="270"/>
      <c r="F39" s="281"/>
      <c r="G39" s="285"/>
      <c r="H39" s="274"/>
      <c r="I39" s="270"/>
    </row>
    <row r="40" spans="1:29" ht="15.95">
      <c r="A40" s="265" t="s">
        <v>433</v>
      </c>
      <c r="B40" s="277" t="s">
        <v>434</v>
      </c>
      <c r="C40" s="272"/>
      <c r="D40" s="271"/>
      <c r="E40" s="271"/>
      <c r="F40" s="282"/>
      <c r="G40" s="278"/>
      <c r="H40" s="272"/>
      <c r="I40" s="271"/>
    </row>
    <row r="41" spans="1:29" ht="15.95">
      <c r="A41" s="267" t="s">
        <v>435</v>
      </c>
      <c r="B41" s="278"/>
      <c r="C41" s="272"/>
      <c r="D41" s="271"/>
      <c r="E41" s="271"/>
      <c r="F41" s="282"/>
      <c r="G41" s="278"/>
      <c r="H41" s="272"/>
      <c r="I41" s="271"/>
    </row>
    <row r="42" spans="1:29" ht="15.95">
      <c r="A42" s="267" t="s">
        <v>436</v>
      </c>
      <c r="B42" s="278"/>
      <c r="C42" s="272"/>
      <c r="D42" s="271"/>
      <c r="E42" s="271"/>
      <c r="F42" s="282"/>
      <c r="G42" s="278"/>
      <c r="H42" s="272"/>
      <c r="I42" s="271"/>
    </row>
    <row r="43" spans="1:29" ht="15.95">
      <c r="A43" s="267" t="s">
        <v>437</v>
      </c>
      <c r="B43" s="278"/>
      <c r="C43" s="272"/>
      <c r="D43" s="271"/>
      <c r="E43" s="271"/>
      <c r="F43" s="282"/>
      <c r="G43" s="278"/>
      <c r="H43" s="272"/>
      <c r="I43" s="271"/>
    </row>
    <row r="44" spans="1:29" ht="15.95">
      <c r="A44" s="267" t="s">
        <v>438</v>
      </c>
      <c r="B44" s="278"/>
      <c r="C44" s="272"/>
      <c r="D44" s="271"/>
      <c r="E44" s="271"/>
      <c r="F44" s="282"/>
      <c r="G44" s="278"/>
      <c r="H44" s="272"/>
      <c r="I44" s="271"/>
    </row>
    <row r="45" spans="1:29" ht="15.95">
      <c r="A45" s="267" t="s">
        <v>439</v>
      </c>
      <c r="B45" s="278"/>
      <c r="C45" s="272"/>
      <c r="D45" s="271"/>
      <c r="E45" s="271"/>
      <c r="F45" s="282"/>
      <c r="G45" s="278"/>
      <c r="H45" s="272"/>
      <c r="I45" s="271"/>
    </row>
    <row r="46" spans="1:29" ht="15.95">
      <c r="A46" s="267" t="s">
        <v>440</v>
      </c>
      <c r="B46" s="278"/>
      <c r="C46" s="272"/>
      <c r="D46" s="271"/>
      <c r="E46" s="271"/>
      <c r="F46" s="282"/>
      <c r="G46" s="278"/>
      <c r="H46" s="272"/>
      <c r="I46" s="271"/>
    </row>
    <row r="47" spans="1:29" ht="15.95">
      <c r="A47" s="267" t="s">
        <v>441</v>
      </c>
      <c r="B47" s="278"/>
      <c r="C47" s="272"/>
      <c r="D47" s="271"/>
      <c r="E47" s="271"/>
      <c r="F47" s="282"/>
      <c r="G47" s="278"/>
      <c r="H47" s="272"/>
      <c r="I47" s="271"/>
    </row>
    <row r="48" spans="1:29" ht="15.95">
      <c r="A48" s="267" t="s">
        <v>442</v>
      </c>
      <c r="B48" s="278"/>
      <c r="C48" s="272"/>
      <c r="D48" s="271"/>
      <c r="E48" s="271"/>
      <c r="F48" s="282"/>
      <c r="G48" s="278"/>
      <c r="H48" s="272"/>
      <c r="I48" s="271"/>
    </row>
    <row r="49" spans="1:9" ht="15.95">
      <c r="A49" s="267" t="s">
        <v>443</v>
      </c>
      <c r="B49" s="278"/>
      <c r="C49" s="272"/>
      <c r="D49" s="271"/>
      <c r="E49" s="271"/>
      <c r="F49" s="282"/>
      <c r="G49" s="278"/>
      <c r="H49" s="272"/>
      <c r="I49" s="271"/>
    </row>
    <row r="50" spans="1:9" ht="15.95">
      <c r="A50" s="267" t="s">
        <v>444</v>
      </c>
      <c r="B50" s="278"/>
      <c r="C50" s="272"/>
      <c r="D50" s="271"/>
      <c r="E50" s="271"/>
      <c r="F50" s="282"/>
      <c r="G50" s="278"/>
      <c r="H50" s="272"/>
      <c r="I50" s="271"/>
    </row>
    <row r="51" spans="1:9" ht="15.95">
      <c r="A51" s="267" t="s">
        <v>445</v>
      </c>
      <c r="B51" s="278"/>
      <c r="C51" s="272"/>
      <c r="D51" s="271"/>
      <c r="E51" s="271"/>
      <c r="F51" s="282"/>
      <c r="G51" s="278"/>
      <c r="H51" s="272"/>
      <c r="I51" s="271"/>
    </row>
    <row r="52" spans="1:9" ht="15.95">
      <c r="A52" s="267" t="s">
        <v>446</v>
      </c>
      <c r="B52" s="278"/>
      <c r="C52" s="272"/>
      <c r="D52" s="271"/>
      <c r="E52" s="271"/>
      <c r="F52" s="282"/>
      <c r="G52" s="278"/>
      <c r="H52" s="272"/>
      <c r="I52" s="271"/>
    </row>
    <row r="53" spans="1:9" ht="15.95">
      <c r="A53" s="267" t="s">
        <v>447</v>
      </c>
      <c r="B53" s="278"/>
      <c r="C53" s="272"/>
      <c r="D53" s="271"/>
      <c r="E53" s="271"/>
      <c r="F53" s="282"/>
      <c r="G53" s="278"/>
      <c r="H53" s="272"/>
      <c r="I53" s="271"/>
    </row>
    <row r="54" spans="1:9" ht="15.95">
      <c r="A54" s="267" t="s">
        <v>448</v>
      </c>
      <c r="B54" s="278"/>
      <c r="C54" s="272"/>
      <c r="D54" s="271"/>
      <c r="E54" s="271"/>
      <c r="F54" s="282"/>
      <c r="G54" s="278"/>
      <c r="H54" s="272"/>
      <c r="I54" s="271"/>
    </row>
    <row r="55" spans="1:9" ht="15.95">
      <c r="A55" s="267" t="s">
        <v>449</v>
      </c>
      <c r="B55" s="278"/>
      <c r="C55" s="272"/>
      <c r="D55" s="271"/>
      <c r="E55" s="271"/>
      <c r="F55" s="282"/>
      <c r="G55" s="278"/>
      <c r="H55" s="272"/>
      <c r="I55" s="271"/>
    </row>
    <row r="56" spans="1:9" ht="15.95">
      <c r="A56" s="267" t="s">
        <v>450</v>
      </c>
      <c r="B56" s="278"/>
      <c r="C56" s="272"/>
      <c r="D56" s="271"/>
      <c r="E56" s="271"/>
      <c r="F56" s="282"/>
      <c r="G56" s="278"/>
      <c r="H56" s="272"/>
      <c r="I56" s="271"/>
    </row>
    <row r="57" spans="1:9" ht="15.95">
      <c r="A57" s="267" t="s">
        <v>451</v>
      </c>
      <c r="B57" s="278"/>
      <c r="C57" s="272"/>
      <c r="D57" s="271"/>
      <c r="E57" s="271"/>
      <c r="F57" s="282"/>
      <c r="G57" s="278"/>
      <c r="H57" s="272"/>
      <c r="I57" s="271"/>
    </row>
    <row r="58" spans="1:9" ht="15.95">
      <c r="A58" s="267" t="s">
        <v>452</v>
      </c>
      <c r="B58" s="278"/>
      <c r="C58" s="272"/>
      <c r="D58" s="271"/>
      <c r="E58" s="271"/>
      <c r="F58" s="282"/>
      <c r="G58" s="278"/>
      <c r="H58" s="272"/>
      <c r="I58" s="271"/>
    </row>
    <row r="59" spans="1:9" ht="15.95">
      <c r="A59" s="267" t="s">
        <v>453</v>
      </c>
      <c r="B59" s="278"/>
      <c r="C59" s="272"/>
      <c r="D59" s="271"/>
      <c r="E59" s="271"/>
      <c r="F59" s="282"/>
      <c r="G59" s="278"/>
      <c r="H59" s="272"/>
      <c r="I59" s="271"/>
    </row>
    <row r="60" spans="1:9" ht="15.95">
      <c r="A60" s="267" t="s">
        <v>454</v>
      </c>
      <c r="B60" s="278"/>
      <c r="C60" s="272"/>
      <c r="D60" s="271"/>
      <c r="E60" s="271"/>
      <c r="F60" s="282"/>
      <c r="G60" s="278"/>
      <c r="H60" s="272"/>
      <c r="I60" s="271"/>
    </row>
    <row r="61" spans="1:9" ht="15.95">
      <c r="A61" s="267" t="s">
        <v>455</v>
      </c>
      <c r="B61" s="278"/>
      <c r="C61" s="272"/>
      <c r="D61" s="271"/>
      <c r="E61" s="271"/>
      <c r="F61" s="282"/>
      <c r="G61" s="278"/>
      <c r="H61" s="272"/>
      <c r="I61" s="271"/>
    </row>
    <row r="62" spans="1:9" ht="15.95">
      <c r="A62" s="267" t="s">
        <v>456</v>
      </c>
      <c r="B62" s="278"/>
      <c r="C62" s="272"/>
      <c r="D62" s="271"/>
      <c r="E62" s="271"/>
      <c r="F62" s="282"/>
      <c r="G62" s="278"/>
      <c r="H62" s="272"/>
      <c r="I62" s="271"/>
    </row>
    <row r="63" spans="1:9" ht="15.95">
      <c r="A63" s="267" t="s">
        <v>457</v>
      </c>
      <c r="B63" s="278"/>
      <c r="C63" s="272"/>
      <c r="D63" s="271"/>
      <c r="E63" s="271"/>
      <c r="F63" s="282"/>
      <c r="G63" s="278"/>
      <c r="H63" s="272"/>
      <c r="I63" s="271"/>
    </row>
    <row r="64" spans="1:9" ht="15.95">
      <c r="A64" s="267" t="s">
        <v>458</v>
      </c>
      <c r="B64" s="278"/>
      <c r="C64" s="272"/>
      <c r="D64" s="271"/>
      <c r="E64" s="271"/>
      <c r="F64" s="282"/>
      <c r="G64" s="278"/>
      <c r="H64" s="272"/>
      <c r="I64" s="271"/>
    </row>
    <row r="65" spans="1:9" ht="15.95">
      <c r="A65" s="267" t="s">
        <v>459</v>
      </c>
      <c r="B65" s="278"/>
      <c r="C65" s="272"/>
      <c r="D65" s="271"/>
      <c r="E65" s="271"/>
      <c r="F65" s="282"/>
      <c r="G65" s="278"/>
      <c r="H65" s="272"/>
      <c r="I65" s="271"/>
    </row>
    <row r="66" spans="1:9" ht="15.95">
      <c r="A66" s="267" t="s">
        <v>460</v>
      </c>
      <c r="B66" s="278"/>
      <c r="C66" s="272"/>
      <c r="D66" s="271"/>
      <c r="E66" s="271"/>
      <c r="F66" s="282"/>
      <c r="G66" s="278"/>
      <c r="H66" s="272"/>
      <c r="I66" s="271"/>
    </row>
    <row r="67" spans="1:9" ht="15.95">
      <c r="A67" s="267" t="s">
        <v>461</v>
      </c>
      <c r="B67" s="278"/>
      <c r="C67" s="272"/>
      <c r="D67" s="271"/>
      <c r="E67" s="271"/>
      <c r="F67" s="282"/>
      <c r="G67" s="278"/>
      <c r="H67" s="272"/>
      <c r="I67" s="271"/>
    </row>
    <row r="68" spans="1:9" ht="15.95">
      <c r="A68" s="267" t="s">
        <v>462</v>
      </c>
      <c r="B68" s="278"/>
      <c r="C68" s="272"/>
      <c r="D68" s="271"/>
      <c r="E68" s="271"/>
      <c r="F68" s="282"/>
      <c r="G68" s="278"/>
      <c r="H68" s="272"/>
      <c r="I68" s="271"/>
    </row>
    <row r="69" spans="1:9" ht="15.95">
      <c r="A69" s="267" t="s">
        <v>463</v>
      </c>
      <c r="B69" s="278"/>
      <c r="C69" s="272"/>
      <c r="D69" s="271"/>
      <c r="E69" s="271"/>
      <c r="F69" s="282"/>
      <c r="G69" s="278"/>
      <c r="H69" s="272"/>
      <c r="I69" s="271"/>
    </row>
    <row r="70" spans="1:9" ht="17.100000000000001" thickBot="1">
      <c r="A70" s="268" t="s">
        <v>464</v>
      </c>
      <c r="B70" s="279"/>
      <c r="C70" s="269"/>
      <c r="D70" s="224"/>
      <c r="E70" s="224"/>
      <c r="F70" s="283"/>
      <c r="G70" s="279"/>
      <c r="H70" s="269"/>
      <c r="I70" s="224"/>
    </row>
  </sheetData>
  <pageMargins left="0.7" right="0.7" top="0.75" bottom="0.75" header="0.3" footer="0.3"/>
  <pageSetup paperSize="9" scale="6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CC"/>
  </sheetPr>
  <dimension ref="A1:AC70"/>
  <sheetViews>
    <sheetView view="pageBreakPreview" topLeftCell="F25" zoomScale="60" zoomScaleNormal="100" workbookViewId="0" xr3:uid="{34904945-5288-588E-9F07-34343C13E9F2}">
      <selection activeCell="Q35" sqref="Q35"/>
    </sheetView>
  </sheetViews>
  <sheetFormatPr defaultColWidth="8.85546875" defaultRowHeight="15"/>
  <cols>
    <col min="1" max="1" width="21.42578125" customWidth="1"/>
    <col min="2" max="2" width="14.42578125" customWidth="1"/>
    <col min="3" max="3" width="14.28515625" style="257" customWidth="1"/>
    <col min="4" max="4" width="14.140625" style="257" customWidth="1"/>
    <col min="5" max="5" width="14.85546875" style="257" customWidth="1"/>
    <col min="6" max="6" width="11.85546875" style="257" customWidth="1"/>
    <col min="7" max="7" width="15.85546875" style="257" customWidth="1"/>
    <col min="8" max="8" width="13.42578125" style="257" customWidth="1"/>
    <col min="9" max="28" width="8.42578125" style="257" customWidth="1"/>
  </cols>
  <sheetData>
    <row r="1" spans="1:29" ht="15.95" thickBot="1"/>
    <row r="2" spans="1:29" ht="48.75" customHeight="1" thickBot="1">
      <c r="A2" s="258" t="s">
        <v>427</v>
      </c>
      <c r="B2" s="275" t="s">
        <v>428</v>
      </c>
      <c r="C2" s="273" t="s">
        <v>429</v>
      </c>
      <c r="D2" s="259" t="s">
        <v>430</v>
      </c>
      <c r="E2" s="259" t="s">
        <v>431</v>
      </c>
      <c r="F2" s="280" t="s">
        <v>97</v>
      </c>
      <c r="G2" s="275" t="s">
        <v>432</v>
      </c>
      <c r="H2" s="284" t="s">
        <v>429</v>
      </c>
      <c r="I2" s="260" t="s">
        <v>97</v>
      </c>
      <c r="O2" s="261"/>
      <c r="P2" s="262"/>
      <c r="Q2" s="262"/>
      <c r="R2" s="101"/>
      <c r="S2" s="101"/>
      <c r="T2" s="101"/>
      <c r="U2" s="101"/>
      <c r="V2" s="101"/>
      <c r="W2" s="101"/>
      <c r="X2" s="101"/>
      <c r="Y2" s="262"/>
      <c r="Z2" s="262"/>
      <c r="AA2" s="101"/>
      <c r="AB2" s="101"/>
      <c r="AC2" s="101"/>
    </row>
    <row r="3" spans="1:29" ht="15.95">
      <c r="A3" s="263" t="s">
        <v>122</v>
      </c>
      <c r="B3" s="276"/>
      <c r="C3" s="274"/>
      <c r="D3" s="270"/>
      <c r="E3" s="270"/>
      <c r="F3" s="281"/>
      <c r="G3" s="285"/>
      <c r="H3" s="274"/>
      <c r="I3" s="270"/>
      <c r="O3" s="264"/>
      <c r="P3"/>
      <c r="AC3" s="257"/>
    </row>
    <row r="4" spans="1:29" ht="15.95">
      <c r="A4" s="265" t="s">
        <v>433</v>
      </c>
      <c r="B4" s="277" t="s">
        <v>434</v>
      </c>
      <c r="C4" s="272"/>
      <c r="D4" s="271"/>
      <c r="E4" s="271"/>
      <c r="F4" s="282"/>
      <c r="G4" s="278"/>
      <c r="H4" s="272"/>
      <c r="I4" s="271"/>
      <c r="O4" s="264"/>
      <c r="P4" s="266"/>
      <c r="AC4" s="257"/>
    </row>
    <row r="5" spans="1:29" ht="15.75" customHeight="1">
      <c r="A5" s="267" t="s">
        <v>435</v>
      </c>
      <c r="B5" s="278"/>
      <c r="C5" s="272"/>
      <c r="D5" s="271"/>
      <c r="E5" s="271"/>
      <c r="F5" s="282"/>
      <c r="G5" s="278"/>
      <c r="H5" s="272"/>
      <c r="I5" s="271"/>
      <c r="O5" s="264"/>
      <c r="AC5" s="257"/>
    </row>
    <row r="6" spans="1:29" ht="15.95">
      <c r="A6" s="267" t="s">
        <v>436</v>
      </c>
      <c r="B6" s="278"/>
      <c r="C6" s="272"/>
      <c r="D6" s="271"/>
      <c r="E6" s="271"/>
      <c r="F6" s="282"/>
      <c r="G6" s="278"/>
      <c r="H6" s="272"/>
      <c r="I6" s="271"/>
      <c r="O6" s="264"/>
      <c r="AC6" s="257"/>
    </row>
    <row r="7" spans="1:29" ht="15.95">
      <c r="A7" s="267" t="s">
        <v>437</v>
      </c>
      <c r="B7" s="278"/>
      <c r="C7" s="272"/>
      <c r="D7" s="271"/>
      <c r="E7" s="271"/>
      <c r="F7" s="282"/>
      <c r="G7" s="278"/>
      <c r="H7" s="272"/>
      <c r="I7" s="271"/>
      <c r="O7" s="264"/>
      <c r="AC7" s="257"/>
    </row>
    <row r="8" spans="1:29" ht="15.95">
      <c r="A8" s="267" t="s">
        <v>438</v>
      </c>
      <c r="B8" s="278"/>
      <c r="C8" s="272"/>
      <c r="D8" s="271"/>
      <c r="E8" s="271"/>
      <c r="F8" s="282"/>
      <c r="G8" s="278"/>
      <c r="H8" s="272"/>
      <c r="I8" s="271"/>
      <c r="O8" s="264"/>
      <c r="AC8" s="257"/>
    </row>
    <row r="9" spans="1:29" ht="15.95">
      <c r="A9" s="267" t="s">
        <v>439</v>
      </c>
      <c r="B9" s="278"/>
      <c r="C9" s="272"/>
      <c r="D9" s="271"/>
      <c r="E9" s="271"/>
      <c r="F9" s="282"/>
      <c r="G9" s="278"/>
      <c r="H9" s="272"/>
      <c r="I9" s="271"/>
      <c r="O9" s="264"/>
      <c r="AC9" s="257"/>
    </row>
    <row r="10" spans="1:29" ht="15.95">
      <c r="A10" s="267" t="s">
        <v>440</v>
      </c>
      <c r="B10" s="278"/>
      <c r="C10" s="272"/>
      <c r="D10" s="271"/>
      <c r="E10" s="271"/>
      <c r="F10" s="282"/>
      <c r="G10" s="278"/>
      <c r="H10" s="272"/>
      <c r="I10" s="271"/>
      <c r="O10" s="264"/>
      <c r="AC10" s="257"/>
    </row>
    <row r="11" spans="1:29" ht="15.95">
      <c r="A11" s="267" t="s">
        <v>441</v>
      </c>
      <c r="B11" s="278"/>
      <c r="C11" s="272"/>
      <c r="D11" s="271"/>
      <c r="E11" s="271"/>
      <c r="F11" s="282"/>
      <c r="G11" s="278"/>
      <c r="H11" s="272"/>
      <c r="I11" s="271"/>
      <c r="O11" s="264"/>
      <c r="AC11" s="257"/>
    </row>
    <row r="12" spans="1:29" ht="15.95">
      <c r="A12" s="267" t="s">
        <v>442</v>
      </c>
      <c r="B12" s="278"/>
      <c r="C12" s="272"/>
      <c r="D12" s="271"/>
      <c r="E12" s="271"/>
      <c r="F12" s="282"/>
      <c r="G12" s="278"/>
      <c r="H12" s="272"/>
      <c r="I12" s="271"/>
      <c r="O12" s="264"/>
      <c r="AC12" s="257"/>
    </row>
    <row r="13" spans="1:29" ht="15.95">
      <c r="A13" s="267" t="s">
        <v>443</v>
      </c>
      <c r="B13" s="278"/>
      <c r="C13" s="272"/>
      <c r="D13" s="271"/>
      <c r="E13" s="271"/>
      <c r="F13" s="282"/>
      <c r="G13" s="278"/>
      <c r="H13" s="272"/>
      <c r="I13" s="271"/>
      <c r="O13" s="264"/>
      <c r="AC13" s="257"/>
    </row>
    <row r="14" spans="1:29" ht="15.95">
      <c r="A14" s="267" t="s">
        <v>444</v>
      </c>
      <c r="B14" s="278"/>
      <c r="C14" s="272"/>
      <c r="D14" s="271"/>
      <c r="E14" s="271"/>
      <c r="F14" s="282"/>
      <c r="G14" s="278"/>
      <c r="H14" s="272"/>
      <c r="I14" s="271"/>
      <c r="O14" s="264"/>
      <c r="AC14" s="257"/>
    </row>
    <row r="15" spans="1:29" ht="15.95">
      <c r="A15" s="267" t="s">
        <v>445</v>
      </c>
      <c r="B15" s="278"/>
      <c r="C15" s="272"/>
      <c r="D15" s="271"/>
      <c r="E15" s="271"/>
      <c r="F15" s="282"/>
      <c r="G15" s="278"/>
      <c r="H15" s="272"/>
      <c r="I15" s="271"/>
      <c r="O15" s="264"/>
      <c r="AC15" s="257"/>
    </row>
    <row r="16" spans="1:29" ht="15.95">
      <c r="A16" s="267" t="s">
        <v>446</v>
      </c>
      <c r="B16" s="278"/>
      <c r="C16" s="272"/>
      <c r="D16" s="271"/>
      <c r="E16" s="271"/>
      <c r="F16" s="282"/>
      <c r="G16" s="278"/>
      <c r="H16" s="272"/>
      <c r="I16" s="271"/>
      <c r="O16" s="264"/>
      <c r="AC16" s="257"/>
    </row>
    <row r="17" spans="1:29" ht="15.95">
      <c r="A17" s="267" t="s">
        <v>447</v>
      </c>
      <c r="B17" s="278"/>
      <c r="C17" s="272"/>
      <c r="D17" s="271"/>
      <c r="E17" s="271"/>
      <c r="F17" s="282"/>
      <c r="G17" s="278"/>
      <c r="H17" s="272"/>
      <c r="I17" s="271"/>
      <c r="O17" s="264"/>
      <c r="AC17" s="257"/>
    </row>
    <row r="18" spans="1:29" ht="15.95">
      <c r="A18" s="267" t="s">
        <v>448</v>
      </c>
      <c r="B18" s="278"/>
      <c r="C18" s="272"/>
      <c r="D18" s="271"/>
      <c r="E18" s="271"/>
      <c r="F18" s="282"/>
      <c r="G18" s="278"/>
      <c r="H18" s="272"/>
      <c r="I18" s="271"/>
      <c r="O18" s="264"/>
      <c r="AC18" s="257"/>
    </row>
    <row r="19" spans="1:29" ht="15.95">
      <c r="A19" s="267" t="s">
        <v>449</v>
      </c>
      <c r="B19" s="278"/>
      <c r="C19" s="272"/>
      <c r="D19" s="271"/>
      <c r="E19" s="271"/>
      <c r="F19" s="282"/>
      <c r="G19" s="278"/>
      <c r="H19" s="272"/>
      <c r="I19" s="271"/>
      <c r="O19" s="264"/>
      <c r="AC19" s="257"/>
    </row>
    <row r="20" spans="1:29" ht="15.95">
      <c r="A20" s="267" t="s">
        <v>450</v>
      </c>
      <c r="B20" s="278"/>
      <c r="C20" s="272"/>
      <c r="D20" s="271"/>
      <c r="E20" s="271"/>
      <c r="F20" s="282"/>
      <c r="G20" s="278"/>
      <c r="H20" s="272"/>
      <c r="I20" s="271"/>
      <c r="O20" s="264"/>
      <c r="AC20" s="257"/>
    </row>
    <row r="21" spans="1:29" ht="15.95">
      <c r="A21" s="267" t="s">
        <v>451</v>
      </c>
      <c r="B21" s="278"/>
      <c r="C21" s="272"/>
      <c r="D21" s="271"/>
      <c r="E21" s="271"/>
      <c r="F21" s="282"/>
      <c r="G21" s="278"/>
      <c r="H21" s="272"/>
      <c r="I21" s="271"/>
      <c r="O21" s="264"/>
      <c r="AC21" s="257"/>
    </row>
    <row r="22" spans="1:29" ht="15.95">
      <c r="A22" s="267" t="s">
        <v>452</v>
      </c>
      <c r="B22" s="278"/>
      <c r="C22" s="272"/>
      <c r="D22" s="271"/>
      <c r="E22" s="271"/>
      <c r="F22" s="282"/>
      <c r="G22" s="278"/>
      <c r="H22" s="272"/>
      <c r="I22" s="271"/>
      <c r="O22" s="264"/>
      <c r="AC22" s="257"/>
    </row>
    <row r="23" spans="1:29" ht="15.95">
      <c r="A23" s="267" t="s">
        <v>453</v>
      </c>
      <c r="B23" s="278"/>
      <c r="C23" s="272"/>
      <c r="D23" s="271"/>
      <c r="E23" s="271"/>
      <c r="F23" s="282"/>
      <c r="G23" s="278"/>
      <c r="H23" s="272"/>
      <c r="I23" s="271"/>
      <c r="O23" s="264"/>
      <c r="AC23" s="257"/>
    </row>
    <row r="24" spans="1:29" ht="15.95">
      <c r="A24" s="267" t="s">
        <v>454</v>
      </c>
      <c r="B24" s="278"/>
      <c r="C24" s="272"/>
      <c r="D24" s="271"/>
      <c r="E24" s="271"/>
      <c r="F24" s="282"/>
      <c r="G24" s="278"/>
      <c r="H24" s="272"/>
      <c r="I24" s="271"/>
      <c r="O24" s="264"/>
      <c r="AC24" s="257"/>
    </row>
    <row r="25" spans="1:29" ht="15.95">
      <c r="A25" s="267" t="s">
        <v>455</v>
      </c>
      <c r="B25" s="278"/>
      <c r="C25" s="272"/>
      <c r="D25" s="271"/>
      <c r="E25" s="271"/>
      <c r="F25" s="282"/>
      <c r="G25" s="278"/>
      <c r="H25" s="272"/>
      <c r="I25" s="271"/>
      <c r="O25" s="264"/>
      <c r="AC25" s="257"/>
    </row>
    <row r="26" spans="1:29" ht="15.95">
      <c r="A26" s="267" t="s">
        <v>456</v>
      </c>
      <c r="B26" s="278"/>
      <c r="C26" s="272"/>
      <c r="D26" s="271"/>
      <c r="E26" s="271"/>
      <c r="F26" s="282"/>
      <c r="G26" s="278"/>
      <c r="H26" s="272"/>
      <c r="I26" s="271"/>
      <c r="O26" s="264"/>
      <c r="AC26" s="257"/>
    </row>
    <row r="27" spans="1:29" ht="15.95">
      <c r="A27" s="267" t="s">
        <v>457</v>
      </c>
      <c r="B27" s="278"/>
      <c r="C27" s="272"/>
      <c r="D27" s="271"/>
      <c r="E27" s="271"/>
      <c r="F27" s="282"/>
      <c r="G27" s="278"/>
      <c r="H27" s="272"/>
      <c r="I27" s="271"/>
      <c r="O27" s="264"/>
      <c r="AC27" s="257"/>
    </row>
    <row r="28" spans="1:29" ht="15.95">
      <c r="A28" s="267" t="s">
        <v>458</v>
      </c>
      <c r="B28" s="278"/>
      <c r="C28" s="272"/>
      <c r="D28" s="271"/>
      <c r="E28" s="271"/>
      <c r="F28" s="282"/>
      <c r="G28" s="278"/>
      <c r="H28" s="272"/>
      <c r="I28" s="271"/>
      <c r="O28" s="264"/>
      <c r="AC28" s="257"/>
    </row>
    <row r="29" spans="1:29" ht="15.95">
      <c r="A29" s="267" t="s">
        <v>459</v>
      </c>
      <c r="B29" s="278"/>
      <c r="C29" s="272"/>
      <c r="D29" s="271"/>
      <c r="E29" s="271"/>
      <c r="F29" s="282"/>
      <c r="G29" s="278"/>
      <c r="H29" s="272"/>
      <c r="I29" s="271"/>
      <c r="O29" s="264"/>
      <c r="AC29" s="257"/>
    </row>
    <row r="30" spans="1:29" ht="15.95">
      <c r="A30" s="267" t="s">
        <v>460</v>
      </c>
      <c r="B30" s="278"/>
      <c r="C30" s="272"/>
      <c r="D30" s="271"/>
      <c r="E30" s="271"/>
      <c r="F30" s="282"/>
      <c r="G30" s="278"/>
      <c r="H30" s="272"/>
      <c r="I30" s="271"/>
      <c r="O30" s="264"/>
      <c r="AC30" s="257"/>
    </row>
    <row r="31" spans="1:29" ht="15.95">
      <c r="A31" s="267" t="s">
        <v>461</v>
      </c>
      <c r="B31" s="278"/>
      <c r="C31" s="272"/>
      <c r="D31" s="271"/>
      <c r="E31" s="271"/>
      <c r="F31" s="282"/>
      <c r="G31" s="278"/>
      <c r="H31" s="272"/>
      <c r="I31" s="271"/>
      <c r="O31" s="264"/>
      <c r="AC31" s="257"/>
    </row>
    <row r="32" spans="1:29" ht="15.95">
      <c r="A32" s="267" t="s">
        <v>462</v>
      </c>
      <c r="B32" s="278"/>
      <c r="C32" s="272"/>
      <c r="D32" s="271"/>
      <c r="E32" s="271"/>
      <c r="F32" s="282"/>
      <c r="G32" s="278"/>
      <c r="H32" s="272"/>
      <c r="I32" s="271"/>
      <c r="O32" s="264"/>
      <c r="AC32" s="257"/>
    </row>
    <row r="33" spans="1:29" ht="15.95">
      <c r="A33" s="267" t="s">
        <v>463</v>
      </c>
      <c r="B33" s="278"/>
      <c r="C33" s="272"/>
      <c r="D33" s="271"/>
      <c r="E33" s="271"/>
      <c r="F33" s="282"/>
      <c r="G33" s="278"/>
      <c r="H33" s="272"/>
      <c r="I33" s="271"/>
      <c r="O33" s="264"/>
      <c r="AC33" s="257"/>
    </row>
    <row r="34" spans="1:29" ht="17.100000000000001" thickBot="1">
      <c r="A34" s="268" t="s">
        <v>464</v>
      </c>
      <c r="B34" s="279"/>
      <c r="C34" s="269"/>
      <c r="D34" s="224"/>
      <c r="E34" s="224"/>
      <c r="F34" s="283"/>
      <c r="G34" s="279"/>
      <c r="H34" s="269"/>
      <c r="I34" s="224"/>
      <c r="O34" s="264"/>
      <c r="P34"/>
      <c r="Q34"/>
      <c r="R34"/>
      <c r="S34"/>
      <c r="T34"/>
      <c r="U34"/>
      <c r="V34"/>
      <c r="W34"/>
      <c r="X34"/>
      <c r="Y34"/>
      <c r="Z34"/>
      <c r="AA34"/>
      <c r="AB34"/>
    </row>
    <row r="37" spans="1:29" ht="15.95" thickBot="1"/>
    <row r="38" spans="1:29" ht="33" thickBot="1">
      <c r="A38" s="258" t="s">
        <v>465</v>
      </c>
      <c r="B38" s="275" t="s">
        <v>428</v>
      </c>
      <c r="C38" s="273" t="s">
        <v>429</v>
      </c>
      <c r="D38" s="259" t="s">
        <v>430</v>
      </c>
      <c r="E38" s="259" t="s">
        <v>431</v>
      </c>
      <c r="F38" s="280" t="s">
        <v>97</v>
      </c>
      <c r="G38" s="275" t="s">
        <v>432</v>
      </c>
      <c r="H38" s="284" t="s">
        <v>429</v>
      </c>
      <c r="I38" s="260" t="s">
        <v>97</v>
      </c>
    </row>
    <row r="39" spans="1:29" ht="15.95">
      <c r="A39" s="263" t="s">
        <v>122</v>
      </c>
      <c r="B39" s="276"/>
      <c r="C39" s="274"/>
      <c r="D39" s="270"/>
      <c r="E39" s="270"/>
      <c r="F39" s="281"/>
      <c r="G39" s="285"/>
      <c r="H39" s="274"/>
      <c r="I39" s="270"/>
    </row>
    <row r="40" spans="1:29" ht="15.95">
      <c r="A40" s="265" t="s">
        <v>433</v>
      </c>
      <c r="B40" s="277" t="s">
        <v>434</v>
      </c>
      <c r="C40" s="272"/>
      <c r="D40" s="271"/>
      <c r="E40" s="271"/>
      <c r="F40" s="282"/>
      <c r="G40" s="278"/>
      <c r="H40" s="272"/>
      <c r="I40" s="271"/>
    </row>
    <row r="41" spans="1:29" ht="15.95">
      <c r="A41" s="267" t="s">
        <v>435</v>
      </c>
      <c r="B41" s="278"/>
      <c r="C41" s="272"/>
      <c r="D41" s="271"/>
      <c r="E41" s="271"/>
      <c r="F41" s="282"/>
      <c r="G41" s="278"/>
      <c r="H41" s="272"/>
      <c r="I41" s="271"/>
    </row>
    <row r="42" spans="1:29" ht="15.95">
      <c r="A42" s="267" t="s">
        <v>436</v>
      </c>
      <c r="B42" s="278"/>
      <c r="C42" s="272"/>
      <c r="D42" s="271"/>
      <c r="E42" s="271"/>
      <c r="F42" s="282"/>
      <c r="G42" s="278"/>
      <c r="H42" s="272"/>
      <c r="I42" s="271"/>
    </row>
    <row r="43" spans="1:29" ht="15.95">
      <c r="A43" s="267" t="s">
        <v>437</v>
      </c>
      <c r="B43" s="278"/>
      <c r="C43" s="272"/>
      <c r="D43" s="271"/>
      <c r="E43" s="271"/>
      <c r="F43" s="282"/>
      <c r="G43" s="278"/>
      <c r="H43" s="272"/>
      <c r="I43" s="271"/>
    </row>
    <row r="44" spans="1:29" ht="15.95">
      <c r="A44" s="267" t="s">
        <v>438</v>
      </c>
      <c r="B44" s="278"/>
      <c r="C44" s="272"/>
      <c r="D44" s="271"/>
      <c r="E44" s="271"/>
      <c r="F44" s="282"/>
      <c r="G44" s="278"/>
      <c r="H44" s="272"/>
      <c r="I44" s="271"/>
    </row>
    <row r="45" spans="1:29" ht="15.95">
      <c r="A45" s="267" t="s">
        <v>439</v>
      </c>
      <c r="B45" s="278"/>
      <c r="C45" s="272"/>
      <c r="D45" s="271"/>
      <c r="E45" s="271"/>
      <c r="F45" s="282"/>
      <c r="G45" s="278"/>
      <c r="H45" s="272"/>
      <c r="I45" s="271"/>
    </row>
    <row r="46" spans="1:29" ht="15.95">
      <c r="A46" s="267" t="s">
        <v>440</v>
      </c>
      <c r="B46" s="278"/>
      <c r="C46" s="272"/>
      <c r="D46" s="271"/>
      <c r="E46" s="271"/>
      <c r="F46" s="282"/>
      <c r="G46" s="278"/>
      <c r="H46" s="272"/>
      <c r="I46" s="271"/>
    </row>
    <row r="47" spans="1:29" ht="15.95">
      <c r="A47" s="267" t="s">
        <v>441</v>
      </c>
      <c r="B47" s="278"/>
      <c r="C47" s="272"/>
      <c r="D47" s="271"/>
      <c r="E47" s="271"/>
      <c r="F47" s="282"/>
      <c r="G47" s="278"/>
      <c r="H47" s="272"/>
      <c r="I47" s="271"/>
    </row>
    <row r="48" spans="1:29" ht="15.95">
      <c r="A48" s="267" t="s">
        <v>442</v>
      </c>
      <c r="B48" s="278"/>
      <c r="C48" s="272"/>
      <c r="D48" s="271"/>
      <c r="E48" s="271"/>
      <c r="F48" s="282"/>
      <c r="G48" s="278"/>
      <c r="H48" s="272"/>
      <c r="I48" s="271"/>
    </row>
    <row r="49" spans="1:9" ht="15.95">
      <c r="A49" s="267" t="s">
        <v>443</v>
      </c>
      <c r="B49" s="278"/>
      <c r="C49" s="272"/>
      <c r="D49" s="271"/>
      <c r="E49" s="271"/>
      <c r="F49" s="282"/>
      <c r="G49" s="278"/>
      <c r="H49" s="272"/>
      <c r="I49" s="271"/>
    </row>
    <row r="50" spans="1:9" ht="15.95">
      <c r="A50" s="267" t="s">
        <v>444</v>
      </c>
      <c r="B50" s="278"/>
      <c r="C50" s="272"/>
      <c r="D50" s="271"/>
      <c r="E50" s="271"/>
      <c r="F50" s="282"/>
      <c r="G50" s="278"/>
      <c r="H50" s="272"/>
      <c r="I50" s="271"/>
    </row>
    <row r="51" spans="1:9" ht="15.95">
      <c r="A51" s="267" t="s">
        <v>445</v>
      </c>
      <c r="B51" s="278"/>
      <c r="C51" s="272"/>
      <c r="D51" s="271"/>
      <c r="E51" s="271"/>
      <c r="F51" s="282"/>
      <c r="G51" s="278"/>
      <c r="H51" s="272"/>
      <c r="I51" s="271"/>
    </row>
    <row r="52" spans="1:9" ht="15.95">
      <c r="A52" s="267" t="s">
        <v>446</v>
      </c>
      <c r="B52" s="278"/>
      <c r="C52" s="272"/>
      <c r="D52" s="271"/>
      <c r="E52" s="271"/>
      <c r="F52" s="282"/>
      <c r="G52" s="278"/>
      <c r="H52" s="272"/>
      <c r="I52" s="271"/>
    </row>
    <row r="53" spans="1:9" ht="15.95">
      <c r="A53" s="267" t="s">
        <v>447</v>
      </c>
      <c r="B53" s="278"/>
      <c r="C53" s="272"/>
      <c r="D53" s="271"/>
      <c r="E53" s="271"/>
      <c r="F53" s="282"/>
      <c r="G53" s="278"/>
      <c r="H53" s="272"/>
      <c r="I53" s="271"/>
    </row>
    <row r="54" spans="1:9" ht="15.95">
      <c r="A54" s="267" t="s">
        <v>448</v>
      </c>
      <c r="B54" s="278"/>
      <c r="C54" s="272"/>
      <c r="D54" s="271"/>
      <c r="E54" s="271"/>
      <c r="F54" s="282"/>
      <c r="G54" s="278"/>
      <c r="H54" s="272"/>
      <c r="I54" s="271"/>
    </row>
    <row r="55" spans="1:9" ht="15.95">
      <c r="A55" s="267" t="s">
        <v>449</v>
      </c>
      <c r="B55" s="278"/>
      <c r="C55" s="272"/>
      <c r="D55" s="271"/>
      <c r="E55" s="271"/>
      <c r="F55" s="282"/>
      <c r="G55" s="278"/>
      <c r="H55" s="272"/>
      <c r="I55" s="271"/>
    </row>
    <row r="56" spans="1:9" ht="15.95">
      <c r="A56" s="267" t="s">
        <v>450</v>
      </c>
      <c r="B56" s="278"/>
      <c r="C56" s="272"/>
      <c r="D56" s="271"/>
      <c r="E56" s="271"/>
      <c r="F56" s="282"/>
      <c r="G56" s="278"/>
      <c r="H56" s="272"/>
      <c r="I56" s="271"/>
    </row>
    <row r="57" spans="1:9" ht="15.95">
      <c r="A57" s="267" t="s">
        <v>451</v>
      </c>
      <c r="B57" s="278"/>
      <c r="C57" s="272"/>
      <c r="D57" s="271"/>
      <c r="E57" s="271"/>
      <c r="F57" s="282"/>
      <c r="G57" s="278"/>
      <c r="H57" s="272"/>
      <c r="I57" s="271"/>
    </row>
    <row r="58" spans="1:9" ht="15.95">
      <c r="A58" s="267" t="s">
        <v>452</v>
      </c>
      <c r="B58" s="278"/>
      <c r="C58" s="272"/>
      <c r="D58" s="271"/>
      <c r="E58" s="271"/>
      <c r="F58" s="282"/>
      <c r="G58" s="278"/>
      <c r="H58" s="272"/>
      <c r="I58" s="271"/>
    </row>
    <row r="59" spans="1:9" ht="15.95">
      <c r="A59" s="267" t="s">
        <v>453</v>
      </c>
      <c r="B59" s="278"/>
      <c r="C59" s="272"/>
      <c r="D59" s="271"/>
      <c r="E59" s="271"/>
      <c r="F59" s="282"/>
      <c r="G59" s="278"/>
      <c r="H59" s="272"/>
      <c r="I59" s="271"/>
    </row>
    <row r="60" spans="1:9" ht="15.95">
      <c r="A60" s="267" t="s">
        <v>454</v>
      </c>
      <c r="B60" s="278"/>
      <c r="C60" s="272"/>
      <c r="D60" s="271"/>
      <c r="E60" s="271"/>
      <c r="F60" s="282"/>
      <c r="G60" s="278"/>
      <c r="H60" s="272"/>
      <c r="I60" s="271"/>
    </row>
    <row r="61" spans="1:9" ht="15.95">
      <c r="A61" s="267" t="s">
        <v>455</v>
      </c>
      <c r="B61" s="278"/>
      <c r="C61" s="272"/>
      <c r="D61" s="271"/>
      <c r="E61" s="271"/>
      <c r="F61" s="282"/>
      <c r="G61" s="278"/>
      <c r="H61" s="272"/>
      <c r="I61" s="271"/>
    </row>
    <row r="62" spans="1:9" ht="15.95">
      <c r="A62" s="267" t="s">
        <v>456</v>
      </c>
      <c r="B62" s="278"/>
      <c r="C62" s="272"/>
      <c r="D62" s="271"/>
      <c r="E62" s="271"/>
      <c r="F62" s="282"/>
      <c r="G62" s="278"/>
      <c r="H62" s="272"/>
      <c r="I62" s="271"/>
    </row>
    <row r="63" spans="1:9" ht="15.95">
      <c r="A63" s="267" t="s">
        <v>457</v>
      </c>
      <c r="B63" s="278"/>
      <c r="C63" s="272"/>
      <c r="D63" s="271"/>
      <c r="E63" s="271"/>
      <c r="F63" s="282"/>
      <c r="G63" s="278"/>
      <c r="H63" s="272"/>
      <c r="I63" s="271"/>
    </row>
    <row r="64" spans="1:9" ht="15.95">
      <c r="A64" s="267" t="s">
        <v>458</v>
      </c>
      <c r="B64" s="278"/>
      <c r="C64" s="272"/>
      <c r="D64" s="271"/>
      <c r="E64" s="271"/>
      <c r="F64" s="282"/>
      <c r="G64" s="278"/>
      <c r="H64" s="272"/>
      <c r="I64" s="271"/>
    </row>
    <row r="65" spans="1:9" ht="15.95">
      <c r="A65" s="267" t="s">
        <v>459</v>
      </c>
      <c r="B65" s="278"/>
      <c r="C65" s="272"/>
      <c r="D65" s="271"/>
      <c r="E65" s="271"/>
      <c r="F65" s="282"/>
      <c r="G65" s="278"/>
      <c r="H65" s="272"/>
      <c r="I65" s="271"/>
    </row>
    <row r="66" spans="1:9" ht="15.95">
      <c r="A66" s="267" t="s">
        <v>460</v>
      </c>
      <c r="B66" s="278"/>
      <c r="C66" s="272"/>
      <c r="D66" s="271"/>
      <c r="E66" s="271"/>
      <c r="F66" s="282"/>
      <c r="G66" s="278"/>
      <c r="H66" s="272"/>
      <c r="I66" s="271"/>
    </row>
    <row r="67" spans="1:9" ht="15.95">
      <c r="A67" s="267" t="s">
        <v>461</v>
      </c>
      <c r="B67" s="278"/>
      <c r="C67" s="272"/>
      <c r="D67" s="271"/>
      <c r="E67" s="271"/>
      <c r="F67" s="282"/>
      <c r="G67" s="278"/>
      <c r="H67" s="272"/>
      <c r="I67" s="271"/>
    </row>
    <row r="68" spans="1:9" ht="15.95">
      <c r="A68" s="267" t="s">
        <v>462</v>
      </c>
      <c r="B68" s="278"/>
      <c r="C68" s="272"/>
      <c r="D68" s="271"/>
      <c r="E68" s="271"/>
      <c r="F68" s="282"/>
      <c r="G68" s="278"/>
      <c r="H68" s="272"/>
      <c r="I68" s="271"/>
    </row>
    <row r="69" spans="1:9" ht="15.95">
      <c r="A69" s="267" t="s">
        <v>463</v>
      </c>
      <c r="B69" s="278"/>
      <c r="C69" s="272"/>
      <c r="D69" s="271"/>
      <c r="E69" s="271"/>
      <c r="F69" s="282"/>
      <c r="G69" s="278"/>
      <c r="H69" s="272"/>
      <c r="I69" s="271"/>
    </row>
    <row r="70" spans="1:9" ht="17.100000000000001" thickBot="1">
      <c r="A70" s="268" t="s">
        <v>464</v>
      </c>
      <c r="B70" s="279"/>
      <c r="C70" s="269"/>
      <c r="D70" s="224"/>
      <c r="E70" s="224"/>
      <c r="F70" s="283"/>
      <c r="G70" s="279"/>
      <c r="H70" s="269"/>
      <c r="I70" s="224"/>
    </row>
  </sheetData>
  <pageMargins left="0.7" right="0.7" top="0.75" bottom="0.75" header="0.3" footer="0.3"/>
  <pageSetup paperSize="9" scale="6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CC"/>
  </sheetPr>
  <dimension ref="A1:I138"/>
  <sheetViews>
    <sheetView view="pageBreakPreview" topLeftCell="A14" zoomScale="60" zoomScaleNormal="80" workbookViewId="0" xr3:uid="{731C365F-4EDE-5636-9D2D-917179ED8537}">
      <selection activeCell="S53" sqref="S53"/>
    </sheetView>
  </sheetViews>
  <sheetFormatPr defaultColWidth="8.85546875" defaultRowHeight="15"/>
  <cols>
    <col min="1" max="1" width="26" customWidth="1"/>
    <col min="2" max="2" width="11.42578125" customWidth="1"/>
    <col min="4" max="4" width="20.85546875" customWidth="1"/>
    <col min="6" max="8" width="12.42578125" bestFit="1" customWidth="1"/>
    <col min="9" max="9" width="13.140625" bestFit="1" customWidth="1"/>
  </cols>
  <sheetData>
    <row r="1" spans="1:9" ht="15.95" thickBot="1"/>
    <row r="2" spans="1:9">
      <c r="A2" s="806" t="str">
        <f>'Parametre - Agendové IS'!P1</f>
        <v>Dôchodkové poistenie</v>
      </c>
      <c r="B2" s="807"/>
      <c r="C2" s="808"/>
      <c r="D2" s="812" t="s">
        <v>76</v>
      </c>
      <c r="E2" s="813"/>
      <c r="F2" s="314" t="s">
        <v>466</v>
      </c>
      <c r="G2" s="314" t="s">
        <v>467</v>
      </c>
      <c r="H2" s="314" t="s">
        <v>468</v>
      </c>
      <c r="I2" s="314" t="s">
        <v>469</v>
      </c>
    </row>
    <row r="3" spans="1:9" ht="15.95" thickBot="1">
      <c r="A3" s="809"/>
      <c r="B3" s="810"/>
      <c r="C3" s="811"/>
      <c r="D3" s="518" t="s">
        <v>470</v>
      </c>
      <c r="E3" s="519" t="s">
        <v>108</v>
      </c>
      <c r="F3" s="160" t="s">
        <v>108</v>
      </c>
      <c r="G3" s="160" t="s">
        <v>108</v>
      </c>
      <c r="H3" s="160" t="s">
        <v>108</v>
      </c>
      <c r="I3" s="160" t="s">
        <v>108</v>
      </c>
    </row>
    <row r="4" spans="1:9" ht="15" customHeight="1">
      <c r="A4" s="800" t="s">
        <v>471</v>
      </c>
      <c r="B4" s="803" t="s">
        <v>167</v>
      </c>
      <c r="C4" s="161" t="s">
        <v>110</v>
      </c>
      <c r="D4" s="520" t="str">
        <f>IF(E4='Parametre - Agendové IS'!Q87,"OK","Chyba počtu FTE")</f>
        <v>Chyba počtu FTE</v>
      </c>
      <c r="E4" s="521">
        <f t="shared" ref="E4:E33" si="0">F4+G4+H4+I4</f>
        <v>0</v>
      </c>
      <c r="F4" s="223"/>
      <c r="G4" s="223"/>
      <c r="H4" s="223"/>
      <c r="I4" s="223"/>
    </row>
    <row r="5" spans="1:9">
      <c r="A5" s="801"/>
      <c r="B5" s="804"/>
      <c r="C5" s="158" t="s">
        <v>111</v>
      </c>
      <c r="D5" s="522" t="str">
        <f>IF(E5='Parametre - Agendové IS'!Q88,"OK","Chyba počtu FTE")</f>
        <v>Chyba počtu FTE</v>
      </c>
      <c r="E5" s="523">
        <f t="shared" si="0"/>
        <v>0</v>
      </c>
      <c r="F5" s="224"/>
      <c r="G5" s="224"/>
      <c r="H5" s="224"/>
      <c r="I5" s="224"/>
    </row>
    <row r="6" spans="1:9">
      <c r="A6" s="801"/>
      <c r="B6" s="804"/>
      <c r="C6" s="158" t="s">
        <v>112</v>
      </c>
      <c r="D6" s="522" t="str">
        <f>IF(E6='Parametre - Agendové IS'!Q89,"OK","Chyba počtu FTE")</f>
        <v>Chyba počtu FTE</v>
      </c>
      <c r="E6" s="523">
        <f t="shared" si="0"/>
        <v>0</v>
      </c>
      <c r="F6" s="224"/>
      <c r="G6" s="224"/>
      <c r="H6" s="224"/>
      <c r="I6" s="224"/>
    </row>
    <row r="7" spans="1:9">
      <c r="A7" s="801"/>
      <c r="B7" s="804"/>
      <c r="C7" s="158" t="s">
        <v>113</v>
      </c>
      <c r="D7" s="522" t="str">
        <f>IF(E7='Parametre - Agendové IS'!Q90,"OK","Chyba počtu FTE")</f>
        <v>Chyba počtu FTE</v>
      </c>
      <c r="E7" s="523">
        <f t="shared" si="0"/>
        <v>0</v>
      </c>
      <c r="F7" s="224"/>
      <c r="G7" s="224"/>
      <c r="H7" s="224"/>
      <c r="I7" s="224"/>
    </row>
    <row r="8" spans="1:9">
      <c r="A8" s="801"/>
      <c r="B8" s="804"/>
      <c r="C8" s="158" t="s">
        <v>114</v>
      </c>
      <c r="D8" s="522" t="str">
        <f>IF(E8='Parametre - Agendové IS'!Q91,"OK","Chyba počtu FTE")</f>
        <v>Chyba počtu FTE</v>
      </c>
      <c r="E8" s="523">
        <f t="shared" si="0"/>
        <v>0</v>
      </c>
      <c r="F8" s="224"/>
      <c r="G8" s="224"/>
      <c r="H8" s="224"/>
      <c r="I8" s="224"/>
    </row>
    <row r="9" spans="1:9">
      <c r="A9" s="801"/>
      <c r="B9" s="804"/>
      <c r="C9" s="158" t="s">
        <v>115</v>
      </c>
      <c r="D9" s="522" t="str">
        <f>IF(E9='Parametre - Agendové IS'!Q92,"OK","Chyba počtu FTE")</f>
        <v>Chyba počtu FTE</v>
      </c>
      <c r="E9" s="523">
        <f t="shared" si="0"/>
        <v>0</v>
      </c>
      <c r="F9" s="224"/>
      <c r="G9" s="224"/>
      <c r="H9" s="224"/>
      <c r="I9" s="224"/>
    </row>
    <row r="10" spans="1:9">
      <c r="A10" s="801"/>
      <c r="B10" s="804"/>
      <c r="C10" s="158" t="s">
        <v>116</v>
      </c>
      <c r="D10" s="522" t="str">
        <f>IF(E10='Parametre - Agendové IS'!Q93,"OK","Chyba počtu FTE")</f>
        <v>Chyba počtu FTE</v>
      </c>
      <c r="E10" s="523">
        <f t="shared" si="0"/>
        <v>0</v>
      </c>
      <c r="F10" s="224"/>
      <c r="G10" s="224"/>
      <c r="H10" s="224"/>
      <c r="I10" s="224"/>
    </row>
    <row r="11" spans="1:9">
      <c r="A11" s="801"/>
      <c r="B11" s="804"/>
      <c r="C11" s="158" t="s">
        <v>117</v>
      </c>
      <c r="D11" s="522" t="str">
        <f>IF(E11='Parametre - Agendové IS'!Q94,"OK","Chyba počtu FTE")</f>
        <v>Chyba počtu FTE</v>
      </c>
      <c r="E11" s="523">
        <f t="shared" si="0"/>
        <v>0</v>
      </c>
      <c r="F11" s="224"/>
      <c r="G11" s="224"/>
      <c r="H11" s="224"/>
      <c r="I11" s="224"/>
    </row>
    <row r="12" spans="1:9">
      <c r="A12" s="801"/>
      <c r="B12" s="804"/>
      <c r="C12" s="158" t="s">
        <v>118</v>
      </c>
      <c r="D12" s="522" t="str">
        <f>IF(E12='Parametre - Agendové IS'!Q95,"OK","Chyba počtu FTE")</f>
        <v>Chyba počtu FTE</v>
      </c>
      <c r="E12" s="523">
        <f t="shared" si="0"/>
        <v>0</v>
      </c>
      <c r="F12" s="224"/>
      <c r="G12" s="224"/>
      <c r="H12" s="224"/>
      <c r="I12" s="224"/>
    </row>
    <row r="13" spans="1:9" ht="15.95" thickBot="1">
      <c r="A13" s="801"/>
      <c r="B13" s="804"/>
      <c r="C13" s="158" t="s">
        <v>119</v>
      </c>
      <c r="D13" s="524" t="str">
        <f>IF(E13='Parametre - Agendové IS'!Q96,"OK","Chyba počtu FTE")</f>
        <v>Chyba počtu FTE</v>
      </c>
      <c r="E13" s="525">
        <f t="shared" si="0"/>
        <v>0</v>
      </c>
      <c r="F13" s="225"/>
      <c r="G13" s="225"/>
      <c r="H13" s="225"/>
      <c r="I13" s="225"/>
    </row>
    <row r="14" spans="1:9" ht="15" customHeight="1">
      <c r="A14" s="800" t="s">
        <v>472</v>
      </c>
      <c r="B14" s="803" t="s">
        <v>157</v>
      </c>
      <c r="C14" s="161" t="s">
        <v>110</v>
      </c>
      <c r="D14" s="521" t="str">
        <f>IF(E14='Parametre - Agendové IS'!Q6,"OK","Chyba počtu podaní")</f>
        <v>Chyba počtu podaní</v>
      </c>
      <c r="E14" s="526">
        <f t="shared" si="0"/>
        <v>0</v>
      </c>
      <c r="F14" s="223"/>
      <c r="G14" s="223"/>
      <c r="H14" s="223"/>
      <c r="I14" s="223"/>
    </row>
    <row r="15" spans="1:9">
      <c r="A15" s="801"/>
      <c r="B15" s="804"/>
      <c r="C15" s="158" t="s">
        <v>111</v>
      </c>
      <c r="D15" s="522" t="str">
        <f>IF(E15='Parametre - Agendové IS'!Q7,"OK","Chyba počtu podaní")</f>
        <v>Chyba počtu podaní</v>
      </c>
      <c r="E15" s="523">
        <f t="shared" si="0"/>
        <v>0</v>
      </c>
      <c r="F15" s="224"/>
      <c r="G15" s="224"/>
      <c r="H15" s="224"/>
      <c r="I15" s="224"/>
    </row>
    <row r="16" spans="1:9">
      <c r="A16" s="801"/>
      <c r="B16" s="804"/>
      <c r="C16" s="158" t="s">
        <v>112</v>
      </c>
      <c r="D16" s="522" t="str">
        <f>IF(E16='Parametre - Agendové IS'!Q8,"OK","Chyba počtu podaní")</f>
        <v>Chyba počtu podaní</v>
      </c>
      <c r="E16" s="523">
        <f t="shared" si="0"/>
        <v>0</v>
      </c>
      <c r="F16" s="224"/>
      <c r="G16" s="224"/>
      <c r="H16" s="224"/>
      <c r="I16" s="224"/>
    </row>
    <row r="17" spans="1:9">
      <c r="A17" s="801"/>
      <c r="B17" s="804"/>
      <c r="C17" s="158" t="s">
        <v>113</v>
      </c>
      <c r="D17" s="522" t="str">
        <f>IF(E17='Parametre - Agendové IS'!Q9,"OK","Chyba počtu podaní")</f>
        <v>Chyba počtu podaní</v>
      </c>
      <c r="E17" s="523">
        <f t="shared" si="0"/>
        <v>0</v>
      </c>
      <c r="F17" s="224"/>
      <c r="G17" s="224"/>
      <c r="H17" s="224"/>
      <c r="I17" s="224"/>
    </row>
    <row r="18" spans="1:9">
      <c r="A18" s="801"/>
      <c r="B18" s="804"/>
      <c r="C18" s="158" t="s">
        <v>114</v>
      </c>
      <c r="D18" s="522" t="str">
        <f>IF(E18='Parametre - Agendové IS'!Q10,"OK","Chyba počtu podaní")</f>
        <v>Chyba počtu podaní</v>
      </c>
      <c r="E18" s="523">
        <f t="shared" si="0"/>
        <v>0</v>
      </c>
      <c r="F18" s="224"/>
      <c r="G18" s="224"/>
      <c r="H18" s="224"/>
      <c r="I18" s="224"/>
    </row>
    <row r="19" spans="1:9">
      <c r="A19" s="801"/>
      <c r="B19" s="804"/>
      <c r="C19" s="158" t="s">
        <v>115</v>
      </c>
      <c r="D19" s="522" t="str">
        <f>IF(E19='Parametre - Agendové IS'!Q11,"OK","Chyba počtu podaní")</f>
        <v>Chyba počtu podaní</v>
      </c>
      <c r="E19" s="523">
        <f t="shared" si="0"/>
        <v>0</v>
      </c>
      <c r="F19" s="224"/>
      <c r="G19" s="224"/>
      <c r="H19" s="224"/>
      <c r="I19" s="224"/>
    </row>
    <row r="20" spans="1:9">
      <c r="A20" s="801"/>
      <c r="B20" s="804"/>
      <c r="C20" s="158" t="s">
        <v>116</v>
      </c>
      <c r="D20" s="522" t="str">
        <f>IF(E20='Parametre - Agendové IS'!Q12,"OK","Chyba počtu podaní")</f>
        <v>Chyba počtu podaní</v>
      </c>
      <c r="E20" s="523">
        <f t="shared" si="0"/>
        <v>0</v>
      </c>
      <c r="F20" s="224"/>
      <c r="G20" s="224"/>
      <c r="H20" s="224"/>
      <c r="I20" s="224"/>
    </row>
    <row r="21" spans="1:9">
      <c r="A21" s="801"/>
      <c r="B21" s="804"/>
      <c r="C21" s="158" t="s">
        <v>117</v>
      </c>
      <c r="D21" s="522" t="str">
        <f>IF(E21='Parametre - Agendové IS'!Q13,"OK","Chyba počtu podaní")</f>
        <v>Chyba počtu podaní</v>
      </c>
      <c r="E21" s="523">
        <f t="shared" si="0"/>
        <v>0</v>
      </c>
      <c r="F21" s="224"/>
      <c r="G21" s="224"/>
      <c r="H21" s="224"/>
      <c r="I21" s="224"/>
    </row>
    <row r="22" spans="1:9">
      <c r="A22" s="801"/>
      <c r="B22" s="804"/>
      <c r="C22" s="158" t="s">
        <v>118</v>
      </c>
      <c r="D22" s="522" t="str">
        <f>IF(E22='Parametre - Agendové IS'!Q14,"OK","Chyba počtu podaní")</f>
        <v>Chyba počtu podaní</v>
      </c>
      <c r="E22" s="523">
        <f t="shared" si="0"/>
        <v>0</v>
      </c>
      <c r="F22" s="224"/>
      <c r="G22" s="224"/>
      <c r="H22" s="224"/>
      <c r="I22" s="224"/>
    </row>
    <row r="23" spans="1:9" ht="15.95" thickBot="1">
      <c r="A23" s="802"/>
      <c r="B23" s="805"/>
      <c r="C23" s="159" t="s">
        <v>119</v>
      </c>
      <c r="D23" s="522" t="str">
        <f>IF(E23='Parametre - Agendové IS'!Q15,"OK","Chyba počtu podaní")</f>
        <v>Chyba počtu podaní</v>
      </c>
      <c r="E23" s="523">
        <f t="shared" si="0"/>
        <v>0</v>
      </c>
      <c r="F23" s="224"/>
      <c r="G23" s="224"/>
      <c r="H23" s="224"/>
      <c r="I23" s="224"/>
    </row>
    <row r="24" spans="1:9">
      <c r="A24" s="800" t="s">
        <v>94</v>
      </c>
      <c r="B24" s="803" t="s">
        <v>159</v>
      </c>
      <c r="C24" s="161" t="s">
        <v>110</v>
      </c>
      <c r="D24" s="521" t="str">
        <f>IF(E24='Parametre - Agendové IS'!Q127,"OK","Chyba")</f>
        <v>OK</v>
      </c>
      <c r="E24" s="526">
        <f t="shared" si="0"/>
        <v>0</v>
      </c>
      <c r="F24" s="223"/>
      <c r="G24" s="223"/>
      <c r="H24" s="223"/>
      <c r="I24" s="223"/>
    </row>
    <row r="25" spans="1:9">
      <c r="A25" s="801"/>
      <c r="B25" s="804"/>
      <c r="C25" s="158" t="s">
        <v>111</v>
      </c>
      <c r="D25" s="522" t="str">
        <f>IF(E25='Parametre - Agendové IS'!Q128,"OK","Chyba")</f>
        <v>OK</v>
      </c>
      <c r="E25" s="523">
        <f t="shared" si="0"/>
        <v>0</v>
      </c>
      <c r="F25" s="224"/>
      <c r="G25" s="224"/>
      <c r="H25" s="224"/>
      <c r="I25" s="224"/>
    </row>
    <row r="26" spans="1:9">
      <c r="A26" s="801"/>
      <c r="B26" s="804"/>
      <c r="C26" s="158" t="s">
        <v>112</v>
      </c>
      <c r="D26" s="522" t="str">
        <f>IF(E26='Parametre - Agendové IS'!Q129,"OK","Chyba")</f>
        <v>OK</v>
      </c>
      <c r="E26" s="523">
        <f t="shared" si="0"/>
        <v>0</v>
      </c>
      <c r="F26" s="224"/>
      <c r="G26" s="224"/>
      <c r="H26" s="224"/>
      <c r="I26" s="224"/>
    </row>
    <row r="27" spans="1:9">
      <c r="A27" s="801"/>
      <c r="B27" s="804"/>
      <c r="C27" s="158" t="s">
        <v>113</v>
      </c>
      <c r="D27" s="522" t="str">
        <f>IF(E27='Parametre - Agendové IS'!Q130,"OK","Chyba")</f>
        <v>OK</v>
      </c>
      <c r="E27" s="523">
        <f t="shared" si="0"/>
        <v>0</v>
      </c>
      <c r="F27" s="224"/>
      <c r="G27" s="224"/>
      <c r="H27" s="224"/>
      <c r="I27" s="224"/>
    </row>
    <row r="28" spans="1:9">
      <c r="A28" s="801"/>
      <c r="B28" s="804"/>
      <c r="C28" s="158" t="s">
        <v>114</v>
      </c>
      <c r="D28" s="522" t="str">
        <f>IF(E28='Parametre - Agendové IS'!Q131,"OK","Chyba")</f>
        <v>OK</v>
      </c>
      <c r="E28" s="523">
        <f t="shared" si="0"/>
        <v>0</v>
      </c>
      <c r="F28" s="224"/>
      <c r="G28" s="224"/>
      <c r="H28" s="224"/>
      <c r="I28" s="224"/>
    </row>
    <row r="29" spans="1:9">
      <c r="A29" s="801"/>
      <c r="B29" s="804"/>
      <c r="C29" s="158" t="s">
        <v>115</v>
      </c>
      <c r="D29" s="522" t="str">
        <f>IF(E29='Parametre - Agendové IS'!Q132,"OK","Chyba")</f>
        <v>OK</v>
      </c>
      <c r="E29" s="523">
        <f t="shared" si="0"/>
        <v>0</v>
      </c>
      <c r="F29" s="224"/>
      <c r="G29" s="224"/>
      <c r="H29" s="224"/>
      <c r="I29" s="224"/>
    </row>
    <row r="30" spans="1:9">
      <c r="A30" s="801"/>
      <c r="B30" s="804"/>
      <c r="C30" s="158" t="s">
        <v>116</v>
      </c>
      <c r="D30" s="522" t="str">
        <f>IF(E30='Parametre - Agendové IS'!Q133,"OK","Chyba")</f>
        <v>OK</v>
      </c>
      <c r="E30" s="523">
        <f t="shared" si="0"/>
        <v>0</v>
      </c>
      <c r="F30" s="224"/>
      <c r="G30" s="224"/>
      <c r="H30" s="224"/>
      <c r="I30" s="224"/>
    </row>
    <row r="31" spans="1:9">
      <c r="A31" s="801"/>
      <c r="B31" s="804"/>
      <c r="C31" s="158" t="s">
        <v>117</v>
      </c>
      <c r="D31" s="522" t="str">
        <f>IF(E31='Parametre - Agendové IS'!Q134,"OK","Chyba")</f>
        <v>OK</v>
      </c>
      <c r="E31" s="523">
        <f t="shared" si="0"/>
        <v>0</v>
      </c>
      <c r="F31" s="224"/>
      <c r="G31" s="224"/>
      <c r="H31" s="224"/>
      <c r="I31" s="224"/>
    </row>
    <row r="32" spans="1:9">
      <c r="A32" s="801"/>
      <c r="B32" s="804"/>
      <c r="C32" s="158" t="s">
        <v>118</v>
      </c>
      <c r="D32" s="522" t="str">
        <f>IF(E32='Parametre - Agendové IS'!Q135,"OK","Chyba")</f>
        <v>OK</v>
      </c>
      <c r="E32" s="523">
        <f t="shared" si="0"/>
        <v>0</v>
      </c>
      <c r="F32" s="224"/>
      <c r="G32" s="224"/>
      <c r="H32" s="224"/>
      <c r="I32" s="224"/>
    </row>
    <row r="33" spans="1:9" ht="15.95" thickBot="1">
      <c r="A33" s="802"/>
      <c r="B33" s="805"/>
      <c r="C33" s="159" t="s">
        <v>119</v>
      </c>
      <c r="D33" s="522" t="str">
        <f>IF(E33='Parametre - Agendové IS'!Q136,"OK","Chyba")</f>
        <v>OK</v>
      </c>
      <c r="E33" s="523">
        <f t="shared" si="0"/>
        <v>0</v>
      </c>
      <c r="F33" s="224"/>
      <c r="G33" s="224"/>
      <c r="H33" s="224"/>
      <c r="I33" s="224"/>
    </row>
    <row r="34" spans="1:9">
      <c r="A34" s="157"/>
      <c r="B34" s="647"/>
    </row>
    <row r="35" spans="1:9">
      <c r="A35" s="157"/>
      <c r="B35" s="647"/>
    </row>
    <row r="36" spans="1:9" ht="15.95" thickBot="1">
      <c r="A36" s="157"/>
      <c r="B36" s="647"/>
    </row>
    <row r="37" spans="1:9">
      <c r="A37" s="806" t="str">
        <f>'Parametre - Agendové IS'!S1</f>
        <v>Nemocenské poistenie</v>
      </c>
      <c r="B37" s="807"/>
      <c r="C37" s="808"/>
      <c r="D37" s="812" t="s">
        <v>76</v>
      </c>
      <c r="E37" s="813"/>
      <c r="F37" s="314" t="s">
        <v>466</v>
      </c>
      <c r="G37" s="314" t="s">
        <v>467</v>
      </c>
      <c r="H37" s="314" t="s">
        <v>468</v>
      </c>
      <c r="I37" s="314" t="s">
        <v>469</v>
      </c>
    </row>
    <row r="38" spans="1:9" ht="15.95" thickBot="1">
      <c r="A38" s="809"/>
      <c r="B38" s="810"/>
      <c r="C38" s="811"/>
      <c r="D38" s="518" t="s">
        <v>470</v>
      </c>
      <c r="E38" s="519" t="s">
        <v>108</v>
      </c>
      <c r="F38" s="160" t="s">
        <v>108</v>
      </c>
      <c r="G38" s="160" t="s">
        <v>108</v>
      </c>
      <c r="H38" s="160" t="s">
        <v>108</v>
      </c>
      <c r="I38" s="160" t="s">
        <v>108</v>
      </c>
    </row>
    <row r="39" spans="1:9">
      <c r="A39" s="800" t="s">
        <v>471</v>
      </c>
      <c r="B39" s="803" t="s">
        <v>167</v>
      </c>
      <c r="C39" s="161" t="s">
        <v>110</v>
      </c>
      <c r="D39" s="520" t="str">
        <f>IF(E39='Parametre - Agendové IS'!T87,"OK","Chyba počtu FTE")</f>
        <v>Chyba počtu FTE</v>
      </c>
      <c r="E39" s="521">
        <f t="shared" ref="E39:E68" si="1">F39+G39+H39+I39</f>
        <v>0</v>
      </c>
      <c r="F39" s="223"/>
      <c r="G39" s="223"/>
      <c r="H39" s="223"/>
      <c r="I39" s="223"/>
    </row>
    <row r="40" spans="1:9">
      <c r="A40" s="801"/>
      <c r="B40" s="804"/>
      <c r="C40" s="158" t="s">
        <v>111</v>
      </c>
      <c r="D40" s="522" t="str">
        <f>IF(E40='Parametre - Agendové IS'!T88,"OK","Chyba počtu FTE")</f>
        <v>Chyba počtu FTE</v>
      </c>
      <c r="E40" s="523">
        <f t="shared" si="1"/>
        <v>0</v>
      </c>
      <c r="F40" s="224"/>
      <c r="G40" s="224"/>
      <c r="H40" s="224"/>
      <c r="I40" s="224"/>
    </row>
    <row r="41" spans="1:9">
      <c r="A41" s="801"/>
      <c r="B41" s="804"/>
      <c r="C41" s="158" t="s">
        <v>112</v>
      </c>
      <c r="D41" s="522" t="str">
        <f>IF(E41='Parametre - Agendové IS'!T89,"OK","Chyba počtu FTE")</f>
        <v>Chyba počtu FTE</v>
      </c>
      <c r="E41" s="523">
        <f t="shared" si="1"/>
        <v>0</v>
      </c>
      <c r="F41" s="224"/>
      <c r="G41" s="224"/>
      <c r="H41" s="224"/>
      <c r="I41" s="224"/>
    </row>
    <row r="42" spans="1:9">
      <c r="A42" s="801"/>
      <c r="B42" s="804"/>
      <c r="C42" s="158" t="s">
        <v>113</v>
      </c>
      <c r="D42" s="522" t="str">
        <f>IF(E42='Parametre - Agendové IS'!T90,"OK","Chyba počtu FTE")</f>
        <v>OK</v>
      </c>
      <c r="E42" s="523">
        <f t="shared" si="1"/>
        <v>0</v>
      </c>
      <c r="F42" s="224"/>
      <c r="G42" s="224"/>
      <c r="H42" s="224"/>
      <c r="I42" s="224"/>
    </row>
    <row r="43" spans="1:9">
      <c r="A43" s="801"/>
      <c r="B43" s="804"/>
      <c r="C43" s="158" t="s">
        <v>114</v>
      </c>
      <c r="D43" s="522" t="str">
        <f>IF(E43='Parametre - Agendové IS'!T91,"OK","Chyba počtu FTE")</f>
        <v>OK</v>
      </c>
      <c r="E43" s="523">
        <f t="shared" si="1"/>
        <v>0</v>
      </c>
      <c r="F43" s="224"/>
      <c r="G43" s="224"/>
      <c r="H43" s="224"/>
      <c r="I43" s="224"/>
    </row>
    <row r="44" spans="1:9" ht="15" customHeight="1">
      <c r="A44" s="801"/>
      <c r="B44" s="804"/>
      <c r="C44" s="158" t="s">
        <v>115</v>
      </c>
      <c r="D44" s="522" t="str">
        <f>IF(E44='Parametre - Agendové IS'!T92,"OK","Chyba počtu FTE")</f>
        <v>OK</v>
      </c>
      <c r="E44" s="523">
        <f t="shared" si="1"/>
        <v>0</v>
      </c>
      <c r="F44" s="224"/>
      <c r="G44" s="224"/>
      <c r="H44" s="224"/>
      <c r="I44" s="224"/>
    </row>
    <row r="45" spans="1:9">
      <c r="A45" s="801"/>
      <c r="B45" s="804"/>
      <c r="C45" s="158" t="s">
        <v>116</v>
      </c>
      <c r="D45" s="522" t="str">
        <f>IF(E45='Parametre - Agendové IS'!T93,"OK","Chyba počtu FTE")</f>
        <v>OK</v>
      </c>
      <c r="E45" s="523">
        <f t="shared" si="1"/>
        <v>0</v>
      </c>
      <c r="F45" s="224"/>
      <c r="G45" s="224"/>
      <c r="H45" s="224"/>
      <c r="I45" s="224"/>
    </row>
    <row r="46" spans="1:9">
      <c r="A46" s="801"/>
      <c r="B46" s="804"/>
      <c r="C46" s="158" t="s">
        <v>117</v>
      </c>
      <c r="D46" s="522" t="str">
        <f>IF(E46='Parametre - Agendové IS'!T94,"OK","Chyba počtu FTE")</f>
        <v>OK</v>
      </c>
      <c r="E46" s="523">
        <f t="shared" si="1"/>
        <v>0</v>
      </c>
      <c r="F46" s="224"/>
      <c r="G46" s="224"/>
      <c r="H46" s="224"/>
      <c r="I46" s="224"/>
    </row>
    <row r="47" spans="1:9">
      <c r="A47" s="801"/>
      <c r="B47" s="804"/>
      <c r="C47" s="158" t="s">
        <v>118</v>
      </c>
      <c r="D47" s="522" t="str">
        <f>IF(E47='Parametre - Agendové IS'!T95,"OK","Chyba počtu FTE")</f>
        <v>OK</v>
      </c>
      <c r="E47" s="523">
        <f t="shared" si="1"/>
        <v>0</v>
      </c>
      <c r="F47" s="224"/>
      <c r="G47" s="224"/>
      <c r="H47" s="224"/>
      <c r="I47" s="224"/>
    </row>
    <row r="48" spans="1:9" ht="15.95" thickBot="1">
      <c r="A48" s="801"/>
      <c r="B48" s="804"/>
      <c r="C48" s="158" t="s">
        <v>119</v>
      </c>
      <c r="D48" s="524" t="str">
        <f>IF(E48='Parametre - Agendové IS'!T96,"OK","Chyba počtu FTE")</f>
        <v>OK</v>
      </c>
      <c r="E48" s="525">
        <f t="shared" si="1"/>
        <v>0</v>
      </c>
      <c r="F48" s="225"/>
      <c r="G48" s="225"/>
      <c r="H48" s="225"/>
      <c r="I48" s="225"/>
    </row>
    <row r="49" spans="1:9">
      <c r="A49" s="800" t="s">
        <v>472</v>
      </c>
      <c r="B49" s="803" t="s">
        <v>157</v>
      </c>
      <c r="C49" s="161" t="s">
        <v>110</v>
      </c>
      <c r="D49" s="521" t="str">
        <f>IF(E49='Parametre - Agendové IS'!T6,"OK","Chyba počtu podaní")</f>
        <v>Chyba počtu podaní</v>
      </c>
      <c r="E49" s="526">
        <f t="shared" si="1"/>
        <v>0</v>
      </c>
      <c r="F49" s="223"/>
      <c r="G49" s="223"/>
      <c r="H49" s="223"/>
      <c r="I49" s="223"/>
    </row>
    <row r="50" spans="1:9">
      <c r="A50" s="801"/>
      <c r="B50" s="804"/>
      <c r="C50" s="158" t="s">
        <v>111</v>
      </c>
      <c r="D50" s="522" t="str">
        <f>IF(E50='Parametre - Agendové IS'!T7,"OK","Chyba počtu podaní")</f>
        <v>Chyba počtu podaní</v>
      </c>
      <c r="E50" s="523">
        <f t="shared" si="1"/>
        <v>0</v>
      </c>
      <c r="F50" s="224"/>
      <c r="G50" s="224"/>
      <c r="H50" s="224"/>
      <c r="I50" s="224"/>
    </row>
    <row r="51" spans="1:9">
      <c r="A51" s="801"/>
      <c r="B51" s="804"/>
      <c r="C51" s="158" t="s">
        <v>112</v>
      </c>
      <c r="D51" s="522" t="str">
        <f>IF(E51='Parametre - Agendové IS'!T8,"OK","Chyba počtu podaní")</f>
        <v>Chyba počtu podaní</v>
      </c>
      <c r="E51" s="523">
        <f t="shared" si="1"/>
        <v>0</v>
      </c>
      <c r="F51" s="224"/>
      <c r="G51" s="224"/>
      <c r="H51" s="224"/>
      <c r="I51" s="224"/>
    </row>
    <row r="52" spans="1:9">
      <c r="A52" s="801"/>
      <c r="B52" s="804"/>
      <c r="C52" s="158" t="s">
        <v>113</v>
      </c>
      <c r="D52" s="522" t="str">
        <f>IF(E52='Parametre - Agendové IS'!T9,"OK","Chyba počtu podaní")</f>
        <v>Chyba počtu podaní</v>
      </c>
      <c r="E52" s="523">
        <f t="shared" si="1"/>
        <v>0</v>
      </c>
      <c r="F52" s="224"/>
      <c r="G52" s="224"/>
      <c r="H52" s="224"/>
      <c r="I52" s="224"/>
    </row>
    <row r="53" spans="1:9">
      <c r="A53" s="801"/>
      <c r="B53" s="804"/>
      <c r="C53" s="158" t="s">
        <v>114</v>
      </c>
      <c r="D53" s="522" t="str">
        <f>IF(E53='Parametre - Agendové IS'!T10,"OK","Chyba počtu podaní")</f>
        <v>Chyba počtu podaní</v>
      </c>
      <c r="E53" s="523">
        <f t="shared" si="1"/>
        <v>0</v>
      </c>
      <c r="F53" s="224"/>
      <c r="G53" s="224"/>
      <c r="H53" s="224"/>
      <c r="I53" s="224"/>
    </row>
    <row r="54" spans="1:9">
      <c r="A54" s="801"/>
      <c r="B54" s="804"/>
      <c r="C54" s="158" t="s">
        <v>115</v>
      </c>
      <c r="D54" s="522" t="str">
        <f>IF(E54='Parametre - Agendové IS'!T11,"OK","Chyba počtu podaní")</f>
        <v>Chyba počtu podaní</v>
      </c>
      <c r="E54" s="523">
        <f t="shared" si="1"/>
        <v>0</v>
      </c>
      <c r="F54" s="224"/>
      <c r="G54" s="224"/>
      <c r="H54" s="224"/>
      <c r="I54" s="224"/>
    </row>
    <row r="55" spans="1:9">
      <c r="A55" s="801"/>
      <c r="B55" s="804"/>
      <c r="C55" s="158" t="s">
        <v>116</v>
      </c>
      <c r="D55" s="522" t="str">
        <f>IF(E55='Parametre - Agendové IS'!T12,"OK","Chyba počtu podaní")</f>
        <v>Chyba počtu podaní</v>
      </c>
      <c r="E55" s="523">
        <f t="shared" si="1"/>
        <v>0</v>
      </c>
      <c r="F55" s="224"/>
      <c r="G55" s="224"/>
      <c r="H55" s="224"/>
      <c r="I55" s="224"/>
    </row>
    <row r="56" spans="1:9">
      <c r="A56" s="801"/>
      <c r="B56" s="804"/>
      <c r="C56" s="158" t="s">
        <v>117</v>
      </c>
      <c r="D56" s="522" t="str">
        <f>IF(E56='Parametre - Agendové IS'!T13,"OK","Chyba počtu podaní")</f>
        <v>Chyba počtu podaní</v>
      </c>
      <c r="E56" s="523">
        <f t="shared" si="1"/>
        <v>0</v>
      </c>
      <c r="F56" s="224"/>
      <c r="G56" s="224"/>
      <c r="H56" s="224"/>
      <c r="I56" s="224"/>
    </row>
    <row r="57" spans="1:9">
      <c r="A57" s="801"/>
      <c r="B57" s="804"/>
      <c r="C57" s="158" t="s">
        <v>118</v>
      </c>
      <c r="D57" s="522" t="str">
        <f>IF(E57='Parametre - Agendové IS'!T14,"OK","Chyba počtu podaní")</f>
        <v>Chyba počtu podaní</v>
      </c>
      <c r="E57" s="523">
        <f t="shared" si="1"/>
        <v>0</v>
      </c>
      <c r="F57" s="224"/>
      <c r="G57" s="224"/>
      <c r="H57" s="224"/>
      <c r="I57" s="224"/>
    </row>
    <row r="58" spans="1:9" ht="15.95" thickBot="1">
      <c r="A58" s="802"/>
      <c r="B58" s="805"/>
      <c r="C58" s="159" t="s">
        <v>119</v>
      </c>
      <c r="D58" s="522" t="str">
        <f>IF(E58='Parametre - Agendové IS'!T15,"OK","Chyba počtu podaní")</f>
        <v>Chyba počtu podaní</v>
      </c>
      <c r="E58" s="523">
        <f t="shared" si="1"/>
        <v>0</v>
      </c>
      <c r="F58" s="224"/>
      <c r="G58" s="224"/>
      <c r="H58" s="224"/>
      <c r="I58" s="224"/>
    </row>
    <row r="59" spans="1:9">
      <c r="A59" s="800" t="s">
        <v>94</v>
      </c>
      <c r="B59" s="803" t="s">
        <v>159</v>
      </c>
      <c r="C59" s="161" t="s">
        <v>110</v>
      </c>
      <c r="D59" s="521" t="str">
        <f>IF(E59='Parametre - Agendové IS'!T127,"OK","Chyba")</f>
        <v>OK</v>
      </c>
      <c r="E59" s="526">
        <f t="shared" si="1"/>
        <v>0</v>
      </c>
      <c r="F59" s="223"/>
      <c r="G59" s="223"/>
      <c r="H59" s="223"/>
      <c r="I59" s="223"/>
    </row>
    <row r="60" spans="1:9">
      <c r="A60" s="801"/>
      <c r="B60" s="804"/>
      <c r="C60" s="158" t="s">
        <v>111</v>
      </c>
      <c r="D60" s="522" t="str">
        <f>IF(E60='Parametre - Agendové IS'!T128,"OK","Chyba")</f>
        <v>OK</v>
      </c>
      <c r="E60" s="523">
        <f t="shared" si="1"/>
        <v>0</v>
      </c>
      <c r="F60" s="224"/>
      <c r="G60" s="224"/>
      <c r="H60" s="224"/>
      <c r="I60" s="224"/>
    </row>
    <row r="61" spans="1:9">
      <c r="A61" s="801"/>
      <c r="B61" s="804"/>
      <c r="C61" s="158" t="s">
        <v>112</v>
      </c>
      <c r="D61" s="522" t="str">
        <f>IF(E61='Parametre - Agendové IS'!T129,"OK","Chyba")</f>
        <v>OK</v>
      </c>
      <c r="E61" s="523">
        <f t="shared" si="1"/>
        <v>0</v>
      </c>
      <c r="F61" s="224"/>
      <c r="G61" s="224"/>
      <c r="H61" s="224"/>
      <c r="I61" s="224"/>
    </row>
    <row r="62" spans="1:9">
      <c r="A62" s="801"/>
      <c r="B62" s="804"/>
      <c r="C62" s="158" t="s">
        <v>113</v>
      </c>
      <c r="D62" s="522" t="str">
        <f>IF(E62='Parametre - Agendové IS'!T130,"OK","Chyba")</f>
        <v>OK</v>
      </c>
      <c r="E62" s="523">
        <f t="shared" si="1"/>
        <v>0</v>
      </c>
      <c r="F62" s="224"/>
      <c r="G62" s="224"/>
      <c r="H62" s="224"/>
      <c r="I62" s="224"/>
    </row>
    <row r="63" spans="1:9">
      <c r="A63" s="801"/>
      <c r="B63" s="804"/>
      <c r="C63" s="158" t="s">
        <v>114</v>
      </c>
      <c r="D63" s="522" t="str">
        <f>IF(E63='Parametre - Agendové IS'!T131,"OK","Chyba")</f>
        <v>OK</v>
      </c>
      <c r="E63" s="523">
        <f t="shared" si="1"/>
        <v>0</v>
      </c>
      <c r="F63" s="224"/>
      <c r="G63" s="224"/>
      <c r="H63" s="224"/>
      <c r="I63" s="224"/>
    </row>
    <row r="64" spans="1:9">
      <c r="A64" s="801"/>
      <c r="B64" s="804"/>
      <c r="C64" s="158" t="s">
        <v>115</v>
      </c>
      <c r="D64" s="522" t="str">
        <f>IF(E64='Parametre - Agendové IS'!T132,"OK","Chyba")</f>
        <v>OK</v>
      </c>
      <c r="E64" s="523">
        <f t="shared" si="1"/>
        <v>0</v>
      </c>
      <c r="F64" s="224"/>
      <c r="G64" s="224"/>
      <c r="H64" s="224"/>
      <c r="I64" s="224"/>
    </row>
    <row r="65" spans="1:9">
      <c r="A65" s="801"/>
      <c r="B65" s="804"/>
      <c r="C65" s="158" t="s">
        <v>116</v>
      </c>
      <c r="D65" s="522" t="str">
        <f>IF(E65='Parametre - Agendové IS'!T133,"OK","Chyba")</f>
        <v>OK</v>
      </c>
      <c r="E65" s="523">
        <f t="shared" si="1"/>
        <v>0</v>
      </c>
      <c r="F65" s="224"/>
      <c r="G65" s="224"/>
      <c r="H65" s="224"/>
      <c r="I65" s="224"/>
    </row>
    <row r="66" spans="1:9">
      <c r="A66" s="801"/>
      <c r="B66" s="804"/>
      <c r="C66" s="158" t="s">
        <v>117</v>
      </c>
      <c r="D66" s="522" t="str">
        <f>IF(E66='Parametre - Agendové IS'!T134,"OK","Chyba")</f>
        <v>OK</v>
      </c>
      <c r="E66" s="523">
        <f t="shared" si="1"/>
        <v>0</v>
      </c>
      <c r="F66" s="224"/>
      <c r="G66" s="224"/>
      <c r="H66" s="224"/>
      <c r="I66" s="224"/>
    </row>
    <row r="67" spans="1:9">
      <c r="A67" s="801"/>
      <c r="B67" s="804"/>
      <c r="C67" s="158" t="s">
        <v>118</v>
      </c>
      <c r="D67" s="522" t="str">
        <f>IF(E67='Parametre - Agendové IS'!T135,"OK","Chyba")</f>
        <v>OK</v>
      </c>
      <c r="E67" s="523">
        <f t="shared" si="1"/>
        <v>0</v>
      </c>
      <c r="F67" s="224"/>
      <c r="G67" s="224"/>
      <c r="H67" s="224"/>
      <c r="I67" s="224"/>
    </row>
    <row r="68" spans="1:9" ht="15.95" thickBot="1">
      <c r="A68" s="802"/>
      <c r="B68" s="805"/>
      <c r="C68" s="159" t="s">
        <v>119</v>
      </c>
      <c r="D68" s="522" t="str">
        <f>IF(E68='Parametre - Agendové IS'!T136,"OK","Chyba")</f>
        <v>OK</v>
      </c>
      <c r="E68" s="523">
        <f t="shared" si="1"/>
        <v>0</v>
      </c>
      <c r="F68" s="224"/>
      <c r="G68" s="224"/>
      <c r="H68" s="224"/>
      <c r="I68" s="224"/>
    </row>
    <row r="71" spans="1:9" ht="15.95" thickBot="1"/>
    <row r="72" spans="1:9">
      <c r="A72" s="806" t="str">
        <f>'Parametre - Agendové IS'!V1</f>
        <v>Úrazové poistenie</v>
      </c>
      <c r="B72" s="807"/>
      <c r="C72" s="808"/>
      <c r="D72" s="812" t="s">
        <v>76</v>
      </c>
      <c r="E72" s="813"/>
      <c r="F72" s="314" t="s">
        <v>466</v>
      </c>
      <c r="G72" s="314" t="s">
        <v>467</v>
      </c>
      <c r="H72" s="314" t="s">
        <v>468</v>
      </c>
      <c r="I72" s="314" t="s">
        <v>469</v>
      </c>
    </row>
    <row r="73" spans="1:9" ht="15.95" thickBot="1">
      <c r="A73" s="809"/>
      <c r="B73" s="810"/>
      <c r="C73" s="811"/>
      <c r="D73" s="518" t="s">
        <v>470</v>
      </c>
      <c r="E73" s="519" t="s">
        <v>108</v>
      </c>
      <c r="F73" s="160" t="s">
        <v>108</v>
      </c>
      <c r="G73" s="160" t="s">
        <v>108</v>
      </c>
      <c r="H73" s="160" t="s">
        <v>108</v>
      </c>
      <c r="I73" s="160" t="s">
        <v>108</v>
      </c>
    </row>
    <row r="74" spans="1:9">
      <c r="A74" s="800" t="s">
        <v>471</v>
      </c>
      <c r="B74" s="803" t="s">
        <v>167</v>
      </c>
      <c r="C74" s="161" t="s">
        <v>110</v>
      </c>
      <c r="D74" s="520" t="str">
        <f>IF(E74='Parametre - Agendové IS'!W87,"OK","Chyba počtu FTE")</f>
        <v>Chyba počtu FTE</v>
      </c>
      <c r="E74" s="521">
        <f t="shared" ref="E74:E103" si="2">F74+G74+H74+I74</f>
        <v>0</v>
      </c>
      <c r="F74" s="223"/>
      <c r="G74" s="223"/>
      <c r="H74" s="223"/>
      <c r="I74" s="223"/>
    </row>
    <row r="75" spans="1:9">
      <c r="A75" s="801"/>
      <c r="B75" s="804"/>
      <c r="C75" s="158" t="s">
        <v>111</v>
      </c>
      <c r="D75" s="522" t="str">
        <f>IF(E75='Parametre - Agendové IS'!W88,"OK","Chyba počtu FTE")</f>
        <v>Chyba počtu FTE</v>
      </c>
      <c r="E75" s="523">
        <f t="shared" si="2"/>
        <v>0</v>
      </c>
      <c r="F75" s="224"/>
      <c r="G75" s="224"/>
      <c r="H75" s="224"/>
      <c r="I75" s="224"/>
    </row>
    <row r="76" spans="1:9">
      <c r="A76" s="801"/>
      <c r="B76" s="804"/>
      <c r="C76" s="158" t="s">
        <v>112</v>
      </c>
      <c r="D76" s="522" t="str">
        <f>IF(E76='Parametre - Agendové IS'!W89,"OK","Chyba počtu FTE")</f>
        <v>Chyba počtu FTE</v>
      </c>
      <c r="E76" s="523">
        <f t="shared" si="2"/>
        <v>0</v>
      </c>
      <c r="F76" s="224"/>
      <c r="G76" s="224"/>
      <c r="H76" s="224"/>
      <c r="I76" s="224"/>
    </row>
    <row r="77" spans="1:9">
      <c r="A77" s="801"/>
      <c r="B77" s="804"/>
      <c r="C77" s="158" t="s">
        <v>113</v>
      </c>
      <c r="D77" s="522" t="str">
        <f>IF(E77='Parametre - Agendové IS'!W90,"OK","Chyba počtu FTE")</f>
        <v>Chyba počtu FTE</v>
      </c>
      <c r="E77" s="523">
        <f t="shared" si="2"/>
        <v>0</v>
      </c>
      <c r="F77" s="224"/>
      <c r="G77" s="224"/>
      <c r="H77" s="224"/>
      <c r="I77" s="224"/>
    </row>
    <row r="78" spans="1:9">
      <c r="A78" s="801"/>
      <c r="B78" s="804"/>
      <c r="C78" s="158" t="s">
        <v>114</v>
      </c>
      <c r="D78" s="522" t="str">
        <f>IF(E78='Parametre - Agendové IS'!W91,"OK","Chyba počtu FTE")</f>
        <v>Chyba počtu FTE</v>
      </c>
      <c r="E78" s="523">
        <f t="shared" si="2"/>
        <v>0</v>
      </c>
      <c r="F78" s="224"/>
      <c r="G78" s="224"/>
      <c r="H78" s="224"/>
      <c r="I78" s="224"/>
    </row>
    <row r="79" spans="1:9">
      <c r="A79" s="801"/>
      <c r="B79" s="804"/>
      <c r="C79" s="158" t="s">
        <v>115</v>
      </c>
      <c r="D79" s="522" t="str">
        <f>IF(E79='Parametre - Agendové IS'!W92,"OK","Chyba počtu FTE")</f>
        <v>Chyba počtu FTE</v>
      </c>
      <c r="E79" s="523">
        <f t="shared" si="2"/>
        <v>0</v>
      </c>
      <c r="F79" s="224"/>
      <c r="G79" s="224"/>
      <c r="H79" s="224"/>
      <c r="I79" s="224"/>
    </row>
    <row r="80" spans="1:9">
      <c r="A80" s="801"/>
      <c r="B80" s="804"/>
      <c r="C80" s="158" t="s">
        <v>116</v>
      </c>
      <c r="D80" s="522" t="str">
        <f>IF(E80='Parametre - Agendové IS'!W93,"OK","Chyba počtu FTE")</f>
        <v>Chyba počtu FTE</v>
      </c>
      <c r="E80" s="523">
        <f t="shared" si="2"/>
        <v>0</v>
      </c>
      <c r="F80" s="224"/>
      <c r="G80" s="224"/>
      <c r="H80" s="224"/>
      <c r="I80" s="224"/>
    </row>
    <row r="81" spans="1:9">
      <c r="A81" s="801"/>
      <c r="B81" s="804"/>
      <c r="C81" s="158" t="s">
        <v>117</v>
      </c>
      <c r="D81" s="522" t="str">
        <f>IF(E81='Parametre - Agendové IS'!W94,"OK","Chyba počtu FTE")</f>
        <v>Chyba počtu FTE</v>
      </c>
      <c r="E81" s="523">
        <f t="shared" si="2"/>
        <v>0</v>
      </c>
      <c r="F81" s="224"/>
      <c r="G81" s="224"/>
      <c r="H81" s="224"/>
      <c r="I81" s="224"/>
    </row>
    <row r="82" spans="1:9">
      <c r="A82" s="801"/>
      <c r="B82" s="804"/>
      <c r="C82" s="158" t="s">
        <v>118</v>
      </c>
      <c r="D82" s="522" t="str">
        <f>IF(E82='Parametre - Agendové IS'!W95,"OK","Chyba počtu FTE")</f>
        <v>Chyba počtu FTE</v>
      </c>
      <c r="E82" s="523">
        <f t="shared" si="2"/>
        <v>0</v>
      </c>
      <c r="F82" s="224"/>
      <c r="G82" s="224"/>
      <c r="H82" s="224"/>
      <c r="I82" s="224"/>
    </row>
    <row r="83" spans="1:9" ht="15.95" thickBot="1">
      <c r="A83" s="801"/>
      <c r="B83" s="804"/>
      <c r="C83" s="158" t="s">
        <v>119</v>
      </c>
      <c r="D83" s="524" t="str">
        <f>IF(E83='Parametre - Agendové IS'!W96,"OK","Chyba počtu FTE")</f>
        <v>Chyba počtu FTE</v>
      </c>
      <c r="E83" s="525">
        <f t="shared" si="2"/>
        <v>0</v>
      </c>
      <c r="F83" s="225"/>
      <c r="G83" s="225"/>
      <c r="H83" s="225"/>
      <c r="I83" s="225"/>
    </row>
    <row r="84" spans="1:9">
      <c r="A84" s="800" t="s">
        <v>472</v>
      </c>
      <c r="B84" s="803" t="s">
        <v>157</v>
      </c>
      <c r="C84" s="161" t="s">
        <v>110</v>
      </c>
      <c r="D84" s="521" t="str">
        <f>IF(E84='Parametre - Agendové IS'!W6,"OK","Chyba počtu podaní")</f>
        <v>Chyba počtu podaní</v>
      </c>
      <c r="E84" s="526">
        <f t="shared" si="2"/>
        <v>0</v>
      </c>
      <c r="F84" s="223"/>
      <c r="G84" s="223"/>
      <c r="H84" s="223"/>
      <c r="I84" s="223"/>
    </row>
    <row r="85" spans="1:9">
      <c r="A85" s="801"/>
      <c r="B85" s="804"/>
      <c r="C85" s="158" t="s">
        <v>111</v>
      </c>
      <c r="D85" s="522" t="str">
        <f>IF(E85='Parametre - Agendové IS'!W7,"OK","Chyba počtu podaní")</f>
        <v>Chyba počtu podaní</v>
      </c>
      <c r="E85" s="523">
        <f t="shared" si="2"/>
        <v>0</v>
      </c>
      <c r="F85" s="224"/>
      <c r="G85" s="224"/>
      <c r="H85" s="224"/>
      <c r="I85" s="224"/>
    </row>
    <row r="86" spans="1:9">
      <c r="A86" s="801"/>
      <c r="B86" s="804"/>
      <c r="C86" s="158" t="s">
        <v>112</v>
      </c>
      <c r="D86" s="522" t="str">
        <f>IF(E86='Parametre - Agendové IS'!W8,"OK","Chyba počtu podaní")</f>
        <v>Chyba počtu podaní</v>
      </c>
      <c r="E86" s="523">
        <f t="shared" si="2"/>
        <v>0</v>
      </c>
      <c r="F86" s="224"/>
      <c r="G86" s="224"/>
      <c r="H86" s="224"/>
      <c r="I86" s="224"/>
    </row>
    <row r="87" spans="1:9">
      <c r="A87" s="801"/>
      <c r="B87" s="804"/>
      <c r="C87" s="158" t="s">
        <v>113</v>
      </c>
      <c r="D87" s="522" t="str">
        <f>IF(E87='Parametre - Agendové IS'!W9,"OK","Chyba počtu podaní")</f>
        <v>Chyba počtu podaní</v>
      </c>
      <c r="E87" s="523">
        <f t="shared" si="2"/>
        <v>0</v>
      </c>
      <c r="F87" s="224"/>
      <c r="G87" s="224"/>
      <c r="H87" s="224"/>
      <c r="I87" s="224"/>
    </row>
    <row r="88" spans="1:9">
      <c r="A88" s="801"/>
      <c r="B88" s="804"/>
      <c r="C88" s="158" t="s">
        <v>114</v>
      </c>
      <c r="D88" s="522" t="str">
        <f>IF(E88='Parametre - Agendové IS'!W10,"OK","Chyba počtu podaní")</f>
        <v>Chyba počtu podaní</v>
      </c>
      <c r="E88" s="523">
        <f t="shared" si="2"/>
        <v>0</v>
      </c>
      <c r="F88" s="224"/>
      <c r="G88" s="224"/>
      <c r="H88" s="224"/>
      <c r="I88" s="224"/>
    </row>
    <row r="89" spans="1:9">
      <c r="A89" s="801"/>
      <c r="B89" s="804"/>
      <c r="C89" s="158" t="s">
        <v>115</v>
      </c>
      <c r="D89" s="522" t="str">
        <f>IF(E89='Parametre - Agendové IS'!W11,"OK","Chyba počtu podaní")</f>
        <v>Chyba počtu podaní</v>
      </c>
      <c r="E89" s="523">
        <f t="shared" si="2"/>
        <v>0</v>
      </c>
      <c r="F89" s="224"/>
      <c r="G89" s="224"/>
      <c r="H89" s="224"/>
      <c r="I89" s="224"/>
    </row>
    <row r="90" spans="1:9">
      <c r="A90" s="801"/>
      <c r="B90" s="804"/>
      <c r="C90" s="158" t="s">
        <v>116</v>
      </c>
      <c r="D90" s="522" t="str">
        <f>IF(E90='Parametre - Agendové IS'!W12,"OK","Chyba počtu podaní")</f>
        <v>Chyba počtu podaní</v>
      </c>
      <c r="E90" s="523">
        <f t="shared" si="2"/>
        <v>0</v>
      </c>
      <c r="F90" s="224"/>
      <c r="G90" s="224"/>
      <c r="H90" s="224"/>
      <c r="I90" s="224"/>
    </row>
    <row r="91" spans="1:9">
      <c r="A91" s="801"/>
      <c r="B91" s="804"/>
      <c r="C91" s="158" t="s">
        <v>117</v>
      </c>
      <c r="D91" s="522" t="str">
        <f>IF(E91='Parametre - Agendové IS'!W13,"OK","Chyba počtu podaní")</f>
        <v>Chyba počtu podaní</v>
      </c>
      <c r="E91" s="523">
        <f t="shared" si="2"/>
        <v>0</v>
      </c>
      <c r="F91" s="224"/>
      <c r="G91" s="224"/>
      <c r="H91" s="224"/>
      <c r="I91" s="224"/>
    </row>
    <row r="92" spans="1:9">
      <c r="A92" s="801"/>
      <c r="B92" s="804"/>
      <c r="C92" s="158" t="s">
        <v>118</v>
      </c>
      <c r="D92" s="522" t="str">
        <f>IF(E92='Parametre - Agendové IS'!W14,"OK","Chyba počtu podaní")</f>
        <v>Chyba počtu podaní</v>
      </c>
      <c r="E92" s="523">
        <f t="shared" si="2"/>
        <v>0</v>
      </c>
      <c r="F92" s="224"/>
      <c r="G92" s="224"/>
      <c r="H92" s="224"/>
      <c r="I92" s="224"/>
    </row>
    <row r="93" spans="1:9" ht="15.95" thickBot="1">
      <c r="A93" s="802"/>
      <c r="B93" s="805"/>
      <c r="C93" s="159" t="s">
        <v>119</v>
      </c>
      <c r="D93" s="522" t="str">
        <f>IF(E93='Parametre - Agendové IS'!W15,"OK","Chyba počtu podaní")</f>
        <v>Chyba počtu podaní</v>
      </c>
      <c r="E93" s="523">
        <f t="shared" si="2"/>
        <v>0</v>
      </c>
      <c r="F93" s="224"/>
      <c r="G93" s="224"/>
      <c r="H93" s="224"/>
      <c r="I93" s="224"/>
    </row>
    <row r="94" spans="1:9">
      <c r="A94" s="800" t="s">
        <v>94</v>
      </c>
      <c r="B94" s="803" t="s">
        <v>159</v>
      </c>
      <c r="C94" s="161" t="s">
        <v>110</v>
      </c>
      <c r="D94" s="521" t="str">
        <f>IF(E94='Parametre - Agendové IS'!W127,"OK","Chyba")</f>
        <v>OK</v>
      </c>
      <c r="E94" s="526">
        <f t="shared" si="2"/>
        <v>0</v>
      </c>
      <c r="F94" s="223"/>
      <c r="G94" s="223"/>
      <c r="H94" s="223"/>
      <c r="I94" s="223"/>
    </row>
    <row r="95" spans="1:9">
      <c r="A95" s="801"/>
      <c r="B95" s="804"/>
      <c r="C95" s="158" t="s">
        <v>111</v>
      </c>
      <c r="D95" s="522" t="str">
        <f>IF(E95='Parametre - Agendové IS'!W128,"OK","Chyba")</f>
        <v>OK</v>
      </c>
      <c r="E95" s="523">
        <f t="shared" si="2"/>
        <v>0</v>
      </c>
      <c r="F95" s="224"/>
      <c r="G95" s="224"/>
      <c r="H95" s="224"/>
      <c r="I95" s="224"/>
    </row>
    <row r="96" spans="1:9">
      <c r="A96" s="801"/>
      <c r="B96" s="804"/>
      <c r="C96" s="158" t="s">
        <v>112</v>
      </c>
      <c r="D96" s="522" t="str">
        <f>IF(E96='Parametre - Agendové IS'!W129,"OK","Chyba")</f>
        <v>OK</v>
      </c>
      <c r="E96" s="523">
        <f t="shared" si="2"/>
        <v>0</v>
      </c>
      <c r="F96" s="224"/>
      <c r="G96" s="224"/>
      <c r="H96" s="224"/>
      <c r="I96" s="224"/>
    </row>
    <row r="97" spans="1:9">
      <c r="A97" s="801"/>
      <c r="B97" s="804"/>
      <c r="C97" s="158" t="s">
        <v>113</v>
      </c>
      <c r="D97" s="522" t="str">
        <f>IF(E97='Parametre - Agendové IS'!W130,"OK","Chyba")</f>
        <v>OK</v>
      </c>
      <c r="E97" s="523">
        <f t="shared" si="2"/>
        <v>0</v>
      </c>
      <c r="F97" s="224"/>
      <c r="G97" s="224"/>
      <c r="H97" s="224"/>
      <c r="I97" s="224"/>
    </row>
    <row r="98" spans="1:9">
      <c r="A98" s="801"/>
      <c r="B98" s="804"/>
      <c r="C98" s="158" t="s">
        <v>114</v>
      </c>
      <c r="D98" s="522" t="str">
        <f>IF(E98='Parametre - Agendové IS'!W131,"OK","Chyba")</f>
        <v>OK</v>
      </c>
      <c r="E98" s="523">
        <f t="shared" si="2"/>
        <v>0</v>
      </c>
      <c r="F98" s="224"/>
      <c r="G98" s="224"/>
      <c r="H98" s="224"/>
      <c r="I98" s="224"/>
    </row>
    <row r="99" spans="1:9">
      <c r="A99" s="801"/>
      <c r="B99" s="804"/>
      <c r="C99" s="158" t="s">
        <v>115</v>
      </c>
      <c r="D99" s="522" t="str">
        <f>IF(E99='Parametre - Agendové IS'!W132,"OK","Chyba")</f>
        <v>OK</v>
      </c>
      <c r="E99" s="523">
        <f t="shared" si="2"/>
        <v>0</v>
      </c>
      <c r="F99" s="224"/>
      <c r="G99" s="224"/>
      <c r="H99" s="224"/>
      <c r="I99" s="224"/>
    </row>
    <row r="100" spans="1:9">
      <c r="A100" s="801"/>
      <c r="B100" s="804"/>
      <c r="C100" s="158" t="s">
        <v>116</v>
      </c>
      <c r="D100" s="522" t="str">
        <f>IF(E100='Parametre - Agendové IS'!W133,"OK","Chyba")</f>
        <v>OK</v>
      </c>
      <c r="E100" s="523">
        <f t="shared" si="2"/>
        <v>0</v>
      </c>
      <c r="F100" s="224"/>
      <c r="G100" s="224"/>
      <c r="H100" s="224"/>
      <c r="I100" s="224"/>
    </row>
    <row r="101" spans="1:9">
      <c r="A101" s="801"/>
      <c r="B101" s="804"/>
      <c r="C101" s="158" t="s">
        <v>117</v>
      </c>
      <c r="D101" s="522" t="str">
        <f>IF(E101='Parametre - Agendové IS'!W134,"OK","Chyba")</f>
        <v>OK</v>
      </c>
      <c r="E101" s="523">
        <f t="shared" si="2"/>
        <v>0</v>
      </c>
      <c r="F101" s="224"/>
      <c r="G101" s="224"/>
      <c r="H101" s="224"/>
      <c r="I101" s="224"/>
    </row>
    <row r="102" spans="1:9">
      <c r="A102" s="801"/>
      <c r="B102" s="804"/>
      <c r="C102" s="158" t="s">
        <v>118</v>
      </c>
      <c r="D102" s="522" t="str">
        <f>IF(E102='Parametre - Agendové IS'!W135,"OK","Chyba")</f>
        <v>OK</v>
      </c>
      <c r="E102" s="523">
        <f t="shared" si="2"/>
        <v>0</v>
      </c>
      <c r="F102" s="224"/>
      <c r="G102" s="224"/>
      <c r="H102" s="224"/>
      <c r="I102" s="224"/>
    </row>
    <row r="103" spans="1:9" ht="15.95" thickBot="1">
      <c r="A103" s="802"/>
      <c r="B103" s="805"/>
      <c r="C103" s="159" t="s">
        <v>119</v>
      </c>
      <c r="D103" s="522" t="str">
        <f>IF(E103='Parametre - Agendové IS'!W136,"OK","Chyba")</f>
        <v>OK</v>
      </c>
      <c r="E103" s="523">
        <f t="shared" si="2"/>
        <v>0</v>
      </c>
      <c r="F103" s="224"/>
      <c r="G103" s="224"/>
      <c r="H103" s="224"/>
      <c r="I103" s="224"/>
    </row>
    <row r="106" spans="1:9" ht="15.95" thickBot="1"/>
    <row r="107" spans="1:9">
      <c r="A107" s="806" t="str">
        <f>'Parametre - Agendové IS'!Y1</f>
        <v>Poistenie v nezamestnanosti</v>
      </c>
      <c r="B107" s="807"/>
      <c r="C107" s="808"/>
      <c r="D107" s="812" t="s">
        <v>76</v>
      </c>
      <c r="E107" s="813"/>
      <c r="F107" s="314" t="s">
        <v>466</v>
      </c>
      <c r="G107" s="314" t="s">
        <v>467</v>
      </c>
      <c r="H107" s="314" t="s">
        <v>468</v>
      </c>
      <c r="I107" s="314" t="s">
        <v>469</v>
      </c>
    </row>
    <row r="108" spans="1:9" ht="15.95" thickBot="1">
      <c r="A108" s="809"/>
      <c r="B108" s="810"/>
      <c r="C108" s="811"/>
      <c r="D108" s="518" t="s">
        <v>470</v>
      </c>
      <c r="E108" s="519" t="s">
        <v>108</v>
      </c>
      <c r="F108" s="160" t="s">
        <v>108</v>
      </c>
      <c r="G108" s="160" t="s">
        <v>108</v>
      </c>
      <c r="H108" s="160" t="s">
        <v>108</v>
      </c>
      <c r="I108" s="160" t="s">
        <v>108</v>
      </c>
    </row>
    <row r="109" spans="1:9">
      <c r="A109" s="800" t="s">
        <v>471</v>
      </c>
      <c r="B109" s="803" t="s">
        <v>167</v>
      </c>
      <c r="C109" s="161" t="s">
        <v>110</v>
      </c>
      <c r="D109" s="520" t="str">
        <f>IF(E109='Parametre - Agendové IS'!Z87,"OK","Chyba počtu FTE")</f>
        <v>Chyba počtu FTE</v>
      </c>
      <c r="E109" s="521">
        <f t="shared" ref="E109:E138" si="3">F109+G109+H109+I109</f>
        <v>0</v>
      </c>
      <c r="F109" s="223"/>
      <c r="G109" s="223"/>
      <c r="H109" s="223"/>
      <c r="I109" s="223"/>
    </row>
    <row r="110" spans="1:9">
      <c r="A110" s="801"/>
      <c r="B110" s="804"/>
      <c r="C110" s="158" t="s">
        <v>111</v>
      </c>
      <c r="D110" s="522" t="str">
        <f>IF(E110='Parametre - Agendové IS'!Z88,"OK","Chyba počtu FTE")</f>
        <v>Chyba počtu FTE</v>
      </c>
      <c r="E110" s="523">
        <f t="shared" si="3"/>
        <v>0</v>
      </c>
      <c r="F110" s="224"/>
      <c r="G110" s="224"/>
      <c r="H110" s="224"/>
      <c r="I110" s="224"/>
    </row>
    <row r="111" spans="1:9">
      <c r="A111" s="801"/>
      <c r="B111" s="804"/>
      <c r="C111" s="158" t="s">
        <v>112</v>
      </c>
      <c r="D111" s="522" t="str">
        <f>IF(E111='Parametre - Agendové IS'!Z89,"OK","Chyba počtu FTE")</f>
        <v>Chyba počtu FTE</v>
      </c>
      <c r="E111" s="523">
        <f t="shared" si="3"/>
        <v>0</v>
      </c>
      <c r="F111" s="224"/>
      <c r="G111" s="224"/>
      <c r="H111" s="224"/>
      <c r="I111" s="224"/>
    </row>
    <row r="112" spans="1:9">
      <c r="A112" s="801"/>
      <c r="B112" s="804"/>
      <c r="C112" s="158" t="s">
        <v>113</v>
      </c>
      <c r="D112" s="522" t="str">
        <f>IF(E112='Parametre - Agendové IS'!Z90,"OK","Chyba počtu FTE")</f>
        <v>OK</v>
      </c>
      <c r="E112" s="523">
        <f t="shared" si="3"/>
        <v>0</v>
      </c>
      <c r="F112" s="224"/>
      <c r="G112" s="224"/>
      <c r="H112" s="224"/>
      <c r="I112" s="224"/>
    </row>
    <row r="113" spans="1:9">
      <c r="A113" s="801"/>
      <c r="B113" s="804"/>
      <c r="C113" s="158" t="s">
        <v>114</v>
      </c>
      <c r="D113" s="522" t="str">
        <f>IF(E113='Parametre - Agendové IS'!Z91,"OK","Chyba počtu FTE")</f>
        <v>OK</v>
      </c>
      <c r="E113" s="523">
        <f t="shared" si="3"/>
        <v>0</v>
      </c>
      <c r="F113" s="224"/>
      <c r="G113" s="224"/>
      <c r="H113" s="224"/>
      <c r="I113" s="224"/>
    </row>
    <row r="114" spans="1:9">
      <c r="A114" s="801"/>
      <c r="B114" s="804"/>
      <c r="C114" s="158" t="s">
        <v>115</v>
      </c>
      <c r="D114" s="522" t="str">
        <f>IF(E114='Parametre - Agendové IS'!Z92,"OK","Chyba počtu FTE")</f>
        <v>OK</v>
      </c>
      <c r="E114" s="523">
        <f t="shared" si="3"/>
        <v>0</v>
      </c>
      <c r="F114" s="224"/>
      <c r="G114" s="224"/>
      <c r="H114" s="224"/>
      <c r="I114" s="224"/>
    </row>
    <row r="115" spans="1:9">
      <c r="A115" s="801"/>
      <c r="B115" s="804"/>
      <c r="C115" s="158" t="s">
        <v>116</v>
      </c>
      <c r="D115" s="522" t="str">
        <f>IF(E115='Parametre - Agendové IS'!Z93,"OK","Chyba počtu FTE")</f>
        <v>OK</v>
      </c>
      <c r="E115" s="523">
        <f t="shared" si="3"/>
        <v>0</v>
      </c>
      <c r="F115" s="224"/>
      <c r="G115" s="224"/>
      <c r="H115" s="224"/>
      <c r="I115" s="224"/>
    </row>
    <row r="116" spans="1:9">
      <c r="A116" s="801"/>
      <c r="B116" s="804"/>
      <c r="C116" s="158" t="s">
        <v>117</v>
      </c>
      <c r="D116" s="522" t="str">
        <f>IF(E116='Parametre - Agendové IS'!Z94,"OK","Chyba počtu FTE")</f>
        <v>OK</v>
      </c>
      <c r="E116" s="523">
        <f t="shared" si="3"/>
        <v>0</v>
      </c>
      <c r="F116" s="224"/>
      <c r="G116" s="224"/>
      <c r="H116" s="224"/>
      <c r="I116" s="224"/>
    </row>
    <row r="117" spans="1:9">
      <c r="A117" s="801"/>
      <c r="B117" s="804"/>
      <c r="C117" s="158" t="s">
        <v>118</v>
      </c>
      <c r="D117" s="522" t="str">
        <f>IF(E117='Parametre - Agendové IS'!Z95,"OK","Chyba počtu FTE")</f>
        <v>OK</v>
      </c>
      <c r="E117" s="523">
        <f t="shared" si="3"/>
        <v>0</v>
      </c>
      <c r="F117" s="224"/>
      <c r="G117" s="224"/>
      <c r="H117" s="224"/>
      <c r="I117" s="224"/>
    </row>
    <row r="118" spans="1:9" ht="15.95" thickBot="1">
      <c r="A118" s="801"/>
      <c r="B118" s="804"/>
      <c r="C118" s="158" t="s">
        <v>119</v>
      </c>
      <c r="D118" s="524" t="str">
        <f>IF(E118='Parametre - Agendové IS'!Z96,"OK","Chyba počtu FTE")</f>
        <v>OK</v>
      </c>
      <c r="E118" s="525">
        <f t="shared" si="3"/>
        <v>0</v>
      </c>
      <c r="F118" s="225"/>
      <c r="G118" s="225"/>
      <c r="H118" s="225"/>
      <c r="I118" s="225"/>
    </row>
    <row r="119" spans="1:9">
      <c r="A119" s="800" t="s">
        <v>472</v>
      </c>
      <c r="B119" s="803" t="s">
        <v>157</v>
      </c>
      <c r="C119" s="161" t="s">
        <v>110</v>
      </c>
      <c r="D119" s="521" t="str">
        <f>IF(E119='Parametre - Agendové IS'!Z6,"OK","Chyba počtu podaní")</f>
        <v>Chyba počtu podaní</v>
      </c>
      <c r="E119" s="526">
        <f t="shared" si="3"/>
        <v>0</v>
      </c>
      <c r="F119" s="223"/>
      <c r="G119" s="223"/>
      <c r="H119" s="223"/>
      <c r="I119" s="223"/>
    </row>
    <row r="120" spans="1:9">
      <c r="A120" s="801"/>
      <c r="B120" s="804"/>
      <c r="C120" s="158" t="s">
        <v>111</v>
      </c>
      <c r="D120" s="522" t="str">
        <f>IF(E120='Parametre - Agendové IS'!Z7,"OK","Chyba počtu podaní")</f>
        <v>Chyba počtu podaní</v>
      </c>
      <c r="E120" s="523">
        <f t="shared" si="3"/>
        <v>0</v>
      </c>
      <c r="F120" s="224"/>
      <c r="G120" s="224"/>
      <c r="H120" s="224"/>
      <c r="I120" s="224"/>
    </row>
    <row r="121" spans="1:9">
      <c r="A121" s="801"/>
      <c r="B121" s="804"/>
      <c r="C121" s="158" t="s">
        <v>112</v>
      </c>
      <c r="D121" s="522" t="str">
        <f>IF(E121='Parametre - Agendové IS'!Z8,"OK","Chyba počtu podaní")</f>
        <v>Chyba počtu podaní</v>
      </c>
      <c r="E121" s="523">
        <f t="shared" si="3"/>
        <v>0</v>
      </c>
      <c r="F121" s="224"/>
      <c r="G121" s="224"/>
      <c r="H121" s="224"/>
      <c r="I121" s="224"/>
    </row>
    <row r="122" spans="1:9">
      <c r="A122" s="801"/>
      <c r="B122" s="804"/>
      <c r="C122" s="158" t="s">
        <v>113</v>
      </c>
      <c r="D122" s="522" t="str">
        <f>IF(E122='Parametre - Agendové IS'!Z9,"OK","Chyba počtu podaní")</f>
        <v>Chyba počtu podaní</v>
      </c>
      <c r="E122" s="523">
        <f t="shared" si="3"/>
        <v>0</v>
      </c>
      <c r="F122" s="224"/>
      <c r="G122" s="224"/>
      <c r="H122" s="224"/>
      <c r="I122" s="224"/>
    </row>
    <row r="123" spans="1:9">
      <c r="A123" s="801"/>
      <c r="B123" s="804"/>
      <c r="C123" s="158" t="s">
        <v>114</v>
      </c>
      <c r="D123" s="522" t="str">
        <f>IF(E123='Parametre - Agendové IS'!Z10,"OK","Chyba počtu podaní")</f>
        <v>Chyba počtu podaní</v>
      </c>
      <c r="E123" s="523">
        <f t="shared" si="3"/>
        <v>0</v>
      </c>
      <c r="F123" s="224"/>
      <c r="G123" s="224"/>
      <c r="H123" s="224"/>
      <c r="I123" s="224"/>
    </row>
    <row r="124" spans="1:9">
      <c r="A124" s="801"/>
      <c r="B124" s="804"/>
      <c r="C124" s="158" t="s">
        <v>115</v>
      </c>
      <c r="D124" s="522" t="str">
        <f>IF(E124='Parametre - Agendové IS'!Z11,"OK","Chyba počtu podaní")</f>
        <v>Chyba počtu podaní</v>
      </c>
      <c r="E124" s="523">
        <f t="shared" si="3"/>
        <v>0</v>
      </c>
      <c r="F124" s="224"/>
      <c r="G124" s="224"/>
      <c r="H124" s="224"/>
      <c r="I124" s="224"/>
    </row>
    <row r="125" spans="1:9">
      <c r="A125" s="801"/>
      <c r="B125" s="804"/>
      <c r="C125" s="158" t="s">
        <v>116</v>
      </c>
      <c r="D125" s="522" t="str">
        <f>IF(E125='Parametre - Agendové IS'!Z12,"OK","Chyba počtu podaní")</f>
        <v>Chyba počtu podaní</v>
      </c>
      <c r="E125" s="523">
        <f t="shared" si="3"/>
        <v>0</v>
      </c>
      <c r="F125" s="224"/>
      <c r="G125" s="224"/>
      <c r="H125" s="224"/>
      <c r="I125" s="224"/>
    </row>
    <row r="126" spans="1:9">
      <c r="A126" s="801"/>
      <c r="B126" s="804"/>
      <c r="C126" s="158" t="s">
        <v>117</v>
      </c>
      <c r="D126" s="522" t="str">
        <f>IF(E126='Parametre - Agendové IS'!Z13,"OK","Chyba počtu podaní")</f>
        <v>Chyba počtu podaní</v>
      </c>
      <c r="E126" s="523">
        <f t="shared" si="3"/>
        <v>0</v>
      </c>
      <c r="F126" s="224"/>
      <c r="G126" s="224"/>
      <c r="H126" s="224"/>
      <c r="I126" s="224"/>
    </row>
    <row r="127" spans="1:9">
      <c r="A127" s="801"/>
      <c r="B127" s="804"/>
      <c r="C127" s="158" t="s">
        <v>118</v>
      </c>
      <c r="D127" s="522" t="str">
        <f>IF(E127='Parametre - Agendové IS'!Z14,"OK","Chyba počtu podaní")</f>
        <v>Chyba počtu podaní</v>
      </c>
      <c r="E127" s="523">
        <f t="shared" si="3"/>
        <v>0</v>
      </c>
      <c r="F127" s="224"/>
      <c r="G127" s="224"/>
      <c r="H127" s="224"/>
      <c r="I127" s="224"/>
    </row>
    <row r="128" spans="1:9" ht="15.95" thickBot="1">
      <c r="A128" s="802"/>
      <c r="B128" s="805"/>
      <c r="C128" s="159" t="s">
        <v>119</v>
      </c>
      <c r="D128" s="522" t="str">
        <f>IF(E128='Parametre - Agendové IS'!Z15,"OK","Chyba počtu podaní")</f>
        <v>Chyba počtu podaní</v>
      </c>
      <c r="E128" s="523">
        <f t="shared" si="3"/>
        <v>0</v>
      </c>
      <c r="F128" s="224"/>
      <c r="G128" s="224"/>
      <c r="H128" s="224"/>
      <c r="I128" s="224"/>
    </row>
    <row r="129" spans="1:9">
      <c r="A129" s="800" t="s">
        <v>94</v>
      </c>
      <c r="B129" s="803" t="s">
        <v>159</v>
      </c>
      <c r="C129" s="161" t="s">
        <v>110</v>
      </c>
      <c r="D129" s="521" t="str">
        <f>IF(E129='Parametre - Agendové IS'!Z127,"OK","Chyba")</f>
        <v>OK</v>
      </c>
      <c r="E129" s="526">
        <f t="shared" si="3"/>
        <v>0</v>
      </c>
      <c r="F129" s="223"/>
      <c r="G129" s="223"/>
      <c r="H129" s="223"/>
      <c r="I129" s="223"/>
    </row>
    <row r="130" spans="1:9">
      <c r="A130" s="801"/>
      <c r="B130" s="804"/>
      <c r="C130" s="158" t="s">
        <v>111</v>
      </c>
      <c r="D130" s="522" t="str">
        <f>IF(E130='Parametre - Agendové IS'!Z128,"OK","Chyba")</f>
        <v>OK</v>
      </c>
      <c r="E130" s="523">
        <f t="shared" si="3"/>
        <v>0</v>
      </c>
      <c r="F130" s="224"/>
      <c r="G130" s="224"/>
      <c r="H130" s="224"/>
      <c r="I130" s="224"/>
    </row>
    <row r="131" spans="1:9">
      <c r="A131" s="801"/>
      <c r="B131" s="804"/>
      <c r="C131" s="158" t="s">
        <v>112</v>
      </c>
      <c r="D131" s="522" t="str">
        <f>IF(E131='Parametre - Agendové IS'!Z129,"OK","Chyba")</f>
        <v>OK</v>
      </c>
      <c r="E131" s="523">
        <f t="shared" si="3"/>
        <v>0</v>
      </c>
      <c r="F131" s="224"/>
      <c r="G131" s="224"/>
      <c r="H131" s="224"/>
      <c r="I131" s="224"/>
    </row>
    <row r="132" spans="1:9">
      <c r="A132" s="801"/>
      <c r="B132" s="804"/>
      <c r="C132" s="158" t="s">
        <v>113</v>
      </c>
      <c r="D132" s="522" t="str">
        <f>IF(E132='Parametre - Agendové IS'!Z130,"OK","Chyba")</f>
        <v>OK</v>
      </c>
      <c r="E132" s="523">
        <f t="shared" si="3"/>
        <v>0</v>
      </c>
      <c r="F132" s="224"/>
      <c r="G132" s="224"/>
      <c r="H132" s="224"/>
      <c r="I132" s="224"/>
    </row>
    <row r="133" spans="1:9">
      <c r="A133" s="801"/>
      <c r="B133" s="804"/>
      <c r="C133" s="158" t="s">
        <v>114</v>
      </c>
      <c r="D133" s="522" t="str">
        <f>IF(E133='Parametre - Agendové IS'!Z131,"OK","Chyba")</f>
        <v>OK</v>
      </c>
      <c r="E133" s="523">
        <f t="shared" si="3"/>
        <v>0</v>
      </c>
      <c r="F133" s="224"/>
      <c r="G133" s="224"/>
      <c r="H133" s="224"/>
      <c r="I133" s="224"/>
    </row>
    <row r="134" spans="1:9">
      <c r="A134" s="801"/>
      <c r="B134" s="804"/>
      <c r="C134" s="158" t="s">
        <v>115</v>
      </c>
      <c r="D134" s="522" t="str">
        <f>IF(E134='Parametre - Agendové IS'!Z132,"OK","Chyba")</f>
        <v>OK</v>
      </c>
      <c r="E134" s="523">
        <f t="shared" si="3"/>
        <v>0</v>
      </c>
      <c r="F134" s="224"/>
      <c r="G134" s="224"/>
      <c r="H134" s="224"/>
      <c r="I134" s="224"/>
    </row>
    <row r="135" spans="1:9">
      <c r="A135" s="801"/>
      <c r="B135" s="804"/>
      <c r="C135" s="158" t="s">
        <v>116</v>
      </c>
      <c r="D135" s="522" t="str">
        <f>IF(E135='Parametre - Agendové IS'!Z133,"OK","Chyba")</f>
        <v>OK</v>
      </c>
      <c r="E135" s="523">
        <f t="shared" si="3"/>
        <v>0</v>
      </c>
      <c r="F135" s="224"/>
      <c r="G135" s="224"/>
      <c r="H135" s="224"/>
      <c r="I135" s="224"/>
    </row>
    <row r="136" spans="1:9">
      <c r="A136" s="801"/>
      <c r="B136" s="804"/>
      <c r="C136" s="158" t="s">
        <v>117</v>
      </c>
      <c r="D136" s="522" t="str">
        <f>IF(E136='Parametre - Agendové IS'!Z134,"OK","Chyba")</f>
        <v>OK</v>
      </c>
      <c r="E136" s="523">
        <f t="shared" si="3"/>
        <v>0</v>
      </c>
      <c r="F136" s="224"/>
      <c r="G136" s="224"/>
      <c r="H136" s="224"/>
      <c r="I136" s="224"/>
    </row>
    <row r="137" spans="1:9">
      <c r="A137" s="801"/>
      <c r="B137" s="804"/>
      <c r="C137" s="158" t="s">
        <v>118</v>
      </c>
      <c r="D137" s="522" t="str">
        <f>IF(E137='Parametre - Agendové IS'!Z135,"OK","Chyba")</f>
        <v>OK</v>
      </c>
      <c r="E137" s="523">
        <f t="shared" si="3"/>
        <v>0</v>
      </c>
      <c r="F137" s="224"/>
      <c r="G137" s="224"/>
      <c r="H137" s="224"/>
      <c r="I137" s="224"/>
    </row>
    <row r="138" spans="1:9" ht="15.95" thickBot="1">
      <c r="A138" s="802"/>
      <c r="B138" s="805"/>
      <c r="C138" s="159" t="s">
        <v>119</v>
      </c>
      <c r="D138" s="522" t="str">
        <f>IF(E138='Parametre - Agendové IS'!Z136,"OK","Chyba")</f>
        <v>OK</v>
      </c>
      <c r="E138" s="523">
        <f t="shared" si="3"/>
        <v>0</v>
      </c>
      <c r="F138" s="224"/>
      <c r="G138" s="224"/>
      <c r="H138" s="224"/>
      <c r="I138" s="224"/>
    </row>
  </sheetData>
  <mergeCells count="32">
    <mergeCell ref="A119:A128"/>
    <mergeCell ref="B119:B128"/>
    <mergeCell ref="A109:A118"/>
    <mergeCell ref="B109:B118"/>
    <mergeCell ref="A84:A93"/>
    <mergeCell ref="B84:B93"/>
    <mergeCell ref="A107:C108"/>
    <mergeCell ref="D107:E107"/>
    <mergeCell ref="D72:E72"/>
    <mergeCell ref="D37:E37"/>
    <mergeCell ref="D2:E2"/>
    <mergeCell ref="A2:C3"/>
    <mergeCell ref="B4:B13"/>
    <mergeCell ref="A14:A23"/>
    <mergeCell ref="B14:B23"/>
    <mergeCell ref="A4:A13"/>
    <mergeCell ref="A129:A138"/>
    <mergeCell ref="B129:B138"/>
    <mergeCell ref="A24:A33"/>
    <mergeCell ref="B24:B33"/>
    <mergeCell ref="A59:A68"/>
    <mergeCell ref="B59:B68"/>
    <mergeCell ref="A94:A103"/>
    <mergeCell ref="B94:B103"/>
    <mergeCell ref="A37:C38"/>
    <mergeCell ref="A39:A48"/>
    <mergeCell ref="B39:B48"/>
    <mergeCell ref="A49:A58"/>
    <mergeCell ref="B49:B58"/>
    <mergeCell ref="A72:C73"/>
    <mergeCell ref="A74:A83"/>
    <mergeCell ref="B74:B83"/>
  </mergeCells>
  <pageMargins left="0.7" right="0.7" top="0.75" bottom="0.75" header="0.3" footer="0.3"/>
  <pageSetup paperSize="9" scale="3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CC"/>
  </sheetPr>
  <dimension ref="A1:V27"/>
  <sheetViews>
    <sheetView view="pageBreakPreview" zoomScale="60" zoomScaleNormal="100" workbookViewId="0" xr3:uid="{842E5F09-E766-5B8D-85AF-A39847EA96FD}">
      <selection sqref="A1:C1"/>
    </sheetView>
  </sheetViews>
  <sheetFormatPr defaultColWidth="9.140625" defaultRowHeight="15"/>
  <cols>
    <col min="2" max="2" width="9.140625" customWidth="1"/>
    <col min="3" max="3" width="32" customWidth="1"/>
    <col min="4" max="6" width="13.42578125" bestFit="1" customWidth="1"/>
    <col min="7" max="7" width="11.7109375" bestFit="1" customWidth="1"/>
    <col min="8" max="8" width="19.85546875" customWidth="1"/>
    <col min="9" max="9" width="13.85546875" bestFit="1" customWidth="1"/>
    <col min="15" max="15" width="32.28515625" customWidth="1"/>
    <col min="16" max="18" width="15.42578125" bestFit="1" customWidth="1"/>
    <col min="19" max="19" width="12.85546875" bestFit="1" customWidth="1"/>
    <col min="20" max="20" width="20.42578125" customWidth="1"/>
    <col min="21" max="21" width="15.42578125" bestFit="1" customWidth="1"/>
  </cols>
  <sheetData>
    <row r="1" spans="1:21" ht="21.75" customHeight="1" thickBot="1">
      <c r="A1" s="686" t="s">
        <v>73</v>
      </c>
      <c r="B1" s="686"/>
      <c r="C1" s="686"/>
      <c r="D1" s="474"/>
      <c r="E1" s="474"/>
      <c r="F1" s="474"/>
      <c r="G1" s="474"/>
      <c r="H1" s="474"/>
      <c r="I1" s="474"/>
      <c r="J1" s="474"/>
      <c r="K1" s="474"/>
      <c r="L1" s="474"/>
      <c r="M1" s="686" t="s">
        <v>74</v>
      </c>
      <c r="N1" s="686"/>
      <c r="O1" s="686"/>
    </row>
    <row r="2" spans="1:21" ht="32.1">
      <c r="A2" s="687"/>
      <c r="B2" s="688"/>
      <c r="C2" s="689"/>
      <c r="D2" s="558" t="str">
        <f>'Parametre - Agendové IS'!P1</f>
        <v>Dôchodkové poistenie</v>
      </c>
      <c r="E2" s="558" t="str">
        <f>'Parametre - Agendové IS'!S1</f>
        <v>Nemocenské poistenie</v>
      </c>
      <c r="F2" s="558" t="str">
        <f>'Parametre - Agendové IS'!V1</f>
        <v>Úrazové poistenie</v>
      </c>
      <c r="G2" s="559" t="str">
        <f>'Parametre - Agendové IS'!Y1</f>
        <v>Poistenie v nezamestnanosti</v>
      </c>
      <c r="H2" s="561" t="s">
        <v>75</v>
      </c>
      <c r="I2" s="560" t="s">
        <v>76</v>
      </c>
      <c r="M2" s="687"/>
      <c r="N2" s="688"/>
      <c r="O2" s="689"/>
      <c r="P2" s="558" t="str">
        <f>D2</f>
        <v>Dôchodkové poistenie</v>
      </c>
      <c r="Q2" s="558" t="str">
        <f>E2</f>
        <v>Nemocenské poistenie</v>
      </c>
      <c r="R2" s="558" t="str">
        <f>F2</f>
        <v>Úrazové poistenie</v>
      </c>
      <c r="S2" s="559" t="str">
        <f>G2</f>
        <v>Poistenie v nezamestnanosti</v>
      </c>
      <c r="T2" s="561" t="s">
        <v>75</v>
      </c>
      <c r="U2" s="560" t="s">
        <v>76</v>
      </c>
    </row>
    <row r="3" spans="1:21">
      <c r="A3" s="317" t="s">
        <v>77</v>
      </c>
      <c r="B3" s="318"/>
      <c r="C3" s="319"/>
      <c r="D3" s="320">
        <f>D4+D5+D9+D13+D14</f>
        <v>15456040.7729633</v>
      </c>
      <c r="E3" s="320">
        <f>E4+E5+E9+E13+E14</f>
        <v>19522218.227621626</v>
      </c>
      <c r="F3" s="320" t="e">
        <f>F4+F5+F9+F13+F14</f>
        <v>#REF!</v>
      </c>
      <c r="G3" s="321" t="e">
        <f>G4+G5+G9+G13+G14</f>
        <v>#REF!</v>
      </c>
      <c r="H3" s="320" t="e">
        <f>H5+H9+H13+H14</f>
        <v>#REF!</v>
      </c>
      <c r="I3" s="475" t="e">
        <f>SUM(D3:H3)</f>
        <v>#REF!</v>
      </c>
      <c r="M3" s="317" t="s">
        <v>77</v>
      </c>
      <c r="N3" s="318"/>
      <c r="O3" s="319"/>
      <c r="P3" s="320">
        <f>P4+P5+P9+P13+P14</f>
        <v>18228045.373655915</v>
      </c>
      <c r="Q3" s="320">
        <f>Q4+Q5+Q9+Q13+Q14</f>
        <v>21069636.469999999</v>
      </c>
      <c r="R3" s="320" t="e">
        <f>R4+R5+R9+R13+R14</f>
        <v>#REF!</v>
      </c>
      <c r="S3" s="321" t="e">
        <f>S4+S5+S9+S13+S14</f>
        <v>#REF!</v>
      </c>
      <c r="T3" s="320" t="e">
        <f>T5+T9+T13+T14</f>
        <v>#REF!</v>
      </c>
      <c r="U3" s="475" t="e">
        <f>SUM(P3:T3)</f>
        <v>#REF!</v>
      </c>
    </row>
    <row r="4" spans="1:21">
      <c r="A4" s="322"/>
      <c r="B4" s="323" t="s">
        <v>78</v>
      </c>
      <c r="C4" s="324"/>
      <c r="D4" s="492">
        <f>'Parametre - Agendové IS'!R107+NPV(Faktory!$D$5,'Parametre - Agendové IS'!R108:R116)</f>
        <v>0</v>
      </c>
      <c r="E4" s="492">
        <f>'Parametre - Agendové IS'!U107+NPV(Faktory!$D$5,'Parametre - Agendové IS'!U108:U116)</f>
        <v>0</v>
      </c>
      <c r="F4" s="492">
        <f>'Parametre - Agendové IS'!X107+NPV(Faktory!$D$5,'Parametre - Agendové IS'!X108:X116)</f>
        <v>0</v>
      </c>
      <c r="G4" s="493">
        <f>'Parametre - Agendové IS'!AA107+NPV(Faktory!$D$5,'Parametre - Agendové IS'!AA108:AA116)</f>
        <v>0</v>
      </c>
      <c r="H4" s="564" t="s">
        <v>79</v>
      </c>
      <c r="I4" s="494">
        <f>SUM(D4:H4)</f>
        <v>0</v>
      </c>
      <c r="M4" s="322"/>
      <c r="N4" s="323" t="s">
        <v>78</v>
      </c>
      <c r="O4" s="324"/>
      <c r="P4" s="492">
        <f>SUM('Parametre - Agendové IS'!R107:R116)</f>
        <v>0</v>
      </c>
      <c r="Q4" s="492">
        <f>SUM('Parametre - Agendové IS'!U107:U116)</f>
        <v>0</v>
      </c>
      <c r="R4" s="492">
        <f>SUM('Parametre - Agendové IS'!X107:X116)</f>
        <v>0</v>
      </c>
      <c r="S4" s="493">
        <f>SUM('Parametre - Agendové IS'!AA107:AA116)</f>
        <v>0</v>
      </c>
      <c r="T4" s="564" t="s">
        <v>79</v>
      </c>
      <c r="U4" s="494">
        <f>SUM(P4:T4)</f>
        <v>0</v>
      </c>
    </row>
    <row r="5" spans="1:21">
      <c r="A5" s="322"/>
      <c r="B5" s="323" t="s">
        <v>80</v>
      </c>
      <c r="C5" s="324"/>
      <c r="D5" s="492">
        <f>SUM(D6:D8)</f>
        <v>3823440</v>
      </c>
      <c r="E5" s="492">
        <f>SUM(E6:E8)</f>
        <v>6328409.5238095243</v>
      </c>
      <c r="F5" s="492" t="e">
        <f>SUM(F6:F8)</f>
        <v>#REF!</v>
      </c>
      <c r="G5" s="493" t="e">
        <f>SUM(G6:G8)</f>
        <v>#REF!</v>
      </c>
      <c r="H5" s="492" t="e">
        <f>SUM(H6:H8)</f>
        <v>#REF!</v>
      </c>
      <c r="I5" s="494" t="e">
        <f>SUM(D5:H5)</f>
        <v>#REF!</v>
      </c>
      <c r="M5" s="322"/>
      <c r="N5" s="323" t="s">
        <v>80</v>
      </c>
      <c r="O5" s="324"/>
      <c r="P5" s="492">
        <f>SUM(P6:P8)</f>
        <v>3971860</v>
      </c>
      <c r="Q5" s="492">
        <f>SUM(Q6:Q8)</f>
        <v>6449960</v>
      </c>
      <c r="R5" s="492" t="e">
        <f>SUM(R6:R8)</f>
        <v>#REF!</v>
      </c>
      <c r="S5" s="493" t="e">
        <f>SUM(S6:S8)</f>
        <v>#REF!</v>
      </c>
      <c r="T5" s="492" t="e">
        <f>SUM(T6+T7)</f>
        <v>#REF!</v>
      </c>
      <c r="U5" s="494" t="e">
        <f>SUM(P5:T5)</f>
        <v>#REF!</v>
      </c>
    </row>
    <row r="6" spans="1:21">
      <c r="A6" s="325"/>
      <c r="B6" s="326"/>
      <c r="C6" s="327" t="s">
        <v>81</v>
      </c>
      <c r="D6" s="495">
        <f>('TCO TO BE- SW'!F26+NPV(Faktory!$D$5,'TCO TO BE- SW'!F27:F35)+'TCO TO BE- SW'!F36+NPV(Faktory!$D$5,'TCO TO BE- SW'!F37:F45)+'TCO TO BE- SW'!F46+NPV(Faktory!$D$5,'TCO TO BE- SW'!F47:F55))</f>
        <v>3556640</v>
      </c>
      <c r="E6" s="495">
        <f>('TCO TO BE- SW'!G26+NPV(Faktory!$D$5,'TCO TO BE- SW'!G27:G35)+'TCO TO BE- SW'!G36+NPV(Faktory!$D$5,'TCO TO BE- SW'!G37:G45)+'TCO TO BE- SW'!G46+NPV(Faktory!$D$5,'TCO TO BE- SW'!G47:G55))</f>
        <v>6061609.5238095243</v>
      </c>
      <c r="F6" s="495" t="e">
        <f>('TCO TO BE- SW'!#REF!+NPV(Faktory!$D$5,'TCO TO BE- SW'!#REF!)+'TCO TO BE- SW'!#REF!+NPV(Faktory!$D$5,'TCO TO BE- SW'!#REF!)+'TCO TO BE- SW'!#REF!+NPV(Faktory!$D$5,'TCO TO BE- SW'!#REF!))</f>
        <v>#REF!</v>
      </c>
      <c r="G6" s="495" t="e">
        <f>('TCO TO BE- SW'!#REF!+NPV(Faktory!$D$5,'TCO TO BE- SW'!#REF!)+'TCO TO BE- SW'!#REF!+NPV(Faktory!$D$5,'TCO TO BE- SW'!#REF!)+'TCO TO BE- SW'!#REF!+NPV(Faktory!$D$5,'TCO TO BE- SW'!#REF!))</f>
        <v>#REF!</v>
      </c>
      <c r="H6" s="495" t="e">
        <f>('TCO TO BE- SW'!#REF!+NPV(Faktory!$D$5,'TCO TO BE- SW'!#REF!)+'TCO TO BE- SW'!#REF!+NPV(Faktory!$D$5,'TCO TO BE- SW'!#REF!)+'TCO TO BE- SW'!#REF!+NPV(Faktory!$D$5,'TCO TO BE- SW'!#REF!))</f>
        <v>#REF!</v>
      </c>
      <c r="I6" s="497" t="e">
        <f>SUM(D6:H6)</f>
        <v>#REF!</v>
      </c>
      <c r="M6" s="325"/>
      <c r="N6" s="326"/>
      <c r="O6" s="327" t="s">
        <v>81</v>
      </c>
      <c r="P6" s="495">
        <f>'TCO TO BE- SW'!F25</f>
        <v>3705060</v>
      </c>
      <c r="Q6" s="495">
        <f>'TCO TO BE- SW'!G25</f>
        <v>6183160</v>
      </c>
      <c r="R6" s="495" t="e">
        <f>'TCO TO BE- SW'!#REF!</f>
        <v>#REF!</v>
      </c>
      <c r="S6" s="495" t="e">
        <f>'TCO TO BE- SW'!#REF!</f>
        <v>#REF!</v>
      </c>
      <c r="T6" s="495" t="e">
        <f>'TCO TO BE- SW'!#REF!</f>
        <v>#REF!</v>
      </c>
      <c r="U6" s="497" t="e">
        <f>SUM(P6:T6)</f>
        <v>#REF!</v>
      </c>
    </row>
    <row r="7" spans="1:21">
      <c r="A7" s="325"/>
      <c r="B7" s="326"/>
      <c r="C7" s="327" t="s">
        <v>82</v>
      </c>
      <c r="D7" s="495">
        <f>('TCO TO BE- SW'!F5+NPV(Faktory!$D$5,'TCO TO BE- SW'!F6:F14)+'TCO TO BE- SW'!F15+NPV(Faktory!$D$5,'TCO TO BE- SW'!F16:F24))</f>
        <v>0</v>
      </c>
      <c r="E7" s="495">
        <f>('TCO TO BE- SW'!G5+NPV(Faktory!$D$5,'TCO TO BE- SW'!G6:G14)+'TCO TO BE- SW'!G15+NPV(Faktory!$D$5,'TCO TO BE- SW'!G16:G24))</f>
        <v>0</v>
      </c>
      <c r="F7" s="495" t="e">
        <f>('TCO TO BE- SW'!#REF!+NPV(Faktory!$D$5,'TCO TO BE- SW'!#REF!)+'TCO TO BE- SW'!#REF!+NPV(Faktory!$D$5,'TCO TO BE- SW'!#REF!))</f>
        <v>#REF!</v>
      </c>
      <c r="G7" s="495" t="e">
        <f>('TCO TO BE- SW'!#REF!+NPV(Faktory!$D$5,'TCO TO BE- SW'!#REF!)+'TCO TO BE- SW'!#REF!+NPV(Faktory!$D$5,'TCO TO BE- SW'!#REF!))</f>
        <v>#REF!</v>
      </c>
      <c r="H7" s="495" t="e">
        <f>('TCO TO BE- SW'!#REF!+NPV(Faktory!$D$5,'TCO TO BE- SW'!#REF!)+'TCO TO BE- SW'!#REF!+NPV(Faktory!$D$5,'TCO TO BE- SW'!#REF!))</f>
        <v>#REF!</v>
      </c>
      <c r="I7" s="497" t="e">
        <f>SUM(D7:H7)</f>
        <v>#REF!</v>
      </c>
      <c r="M7" s="325"/>
      <c r="N7" s="326"/>
      <c r="O7" s="327" t="s">
        <v>82</v>
      </c>
      <c r="P7" s="495">
        <f>'TCO TO BE- SW'!F4</f>
        <v>0</v>
      </c>
      <c r="Q7" s="495">
        <f>'TCO TO BE- SW'!G4</f>
        <v>0</v>
      </c>
      <c r="R7" s="495" t="e">
        <f>'TCO TO BE- SW'!#REF!</f>
        <v>#REF!</v>
      </c>
      <c r="S7" s="495" t="e">
        <f>'TCO TO BE- SW'!#REF!</f>
        <v>#REF!</v>
      </c>
      <c r="T7" s="495" t="e">
        <f>'TCO TO BE- SW'!#REF!</f>
        <v>#REF!</v>
      </c>
      <c r="U7" s="497" t="e">
        <f>SUM(P7:T7)</f>
        <v>#REF!</v>
      </c>
    </row>
    <row r="8" spans="1:21">
      <c r="A8" s="325"/>
      <c r="B8" s="326"/>
      <c r="C8" s="327" t="s">
        <v>83</v>
      </c>
      <c r="D8" s="495">
        <f>('TCO TO BE - HW'!F4+NPV(Faktory!$D$5,'TCO TO BE - HW'!F5:F13)+'TCO TO BE - HW'!F14+NPV(Faktory!$D$5,'TCO TO BE - HW'!F15:F23)+'TCO TO BE - HW'!F24+NPV(Faktory!$D$5,'TCO TO BE - HW'!F25:F33))</f>
        <v>266800</v>
      </c>
      <c r="E8" s="495">
        <f>('TCO TO BE - HW'!G4+NPV(Faktory!$D$5,'TCO TO BE - HW'!G5:G13)+'TCO TO BE - HW'!G14+NPV(Faktory!$D$5,'TCO TO BE - HW'!G15:G23)+'TCO TO BE - HW'!G24+NPV(Faktory!$D$5,'TCO TO BE - HW'!G25:G33))</f>
        <v>266800</v>
      </c>
      <c r="F8" s="495">
        <f>('TCO TO BE - HW'!H4+NPV(Faktory!$D$5,'TCO TO BE - HW'!H5:H13)+'TCO TO BE - HW'!H14+NPV(Faktory!$D$5,'TCO TO BE - HW'!H15:H23)+'TCO TO BE - HW'!H24+NPV(Faktory!$D$5,'TCO TO BE - HW'!H25:H33))</f>
        <v>266800</v>
      </c>
      <c r="G8" s="495" t="e">
        <f>('TCO TO BE - HW'!#REF!+NPV(Faktory!$D$5,'TCO TO BE - HW'!#REF!)+'TCO TO BE - HW'!#REF!+NPV(Faktory!$D$5,'TCO TO BE - HW'!#REF!)+'TCO TO BE - HW'!#REF!+NPV(Faktory!$D$5,'TCO TO BE - HW'!#REF!))</f>
        <v>#REF!</v>
      </c>
      <c r="H8" s="498" t="s">
        <v>79</v>
      </c>
      <c r="I8" s="497" t="e">
        <f t="shared" ref="I8:I17" si="0">SUM(D8:G8)</f>
        <v>#REF!</v>
      </c>
      <c r="M8" s="325"/>
      <c r="N8" s="326"/>
      <c r="O8" s="327" t="s">
        <v>83</v>
      </c>
      <c r="P8" s="495">
        <f>'TCO TO BE - HW'!F3</f>
        <v>266800</v>
      </c>
      <c r="Q8" s="495">
        <f>'TCO TO BE - HW'!G3</f>
        <v>266800</v>
      </c>
      <c r="R8" s="495">
        <f>'TCO TO BE - HW'!H3</f>
        <v>266800</v>
      </c>
      <c r="S8" s="495" t="e">
        <f>'TCO TO BE - HW'!#REF!</f>
        <v>#REF!</v>
      </c>
      <c r="T8" s="498" t="s">
        <v>79</v>
      </c>
      <c r="U8" s="497" t="e">
        <f t="shared" ref="U8:U23" si="1">SUM(P8:S8)</f>
        <v>#REF!</v>
      </c>
    </row>
    <row r="9" spans="1:21">
      <c r="A9" s="322"/>
      <c r="B9" s="323" t="s">
        <v>84</v>
      </c>
      <c r="C9" s="324"/>
      <c r="D9" s="492">
        <f>SUM(D10:D12)</f>
        <v>10405616.348680146</v>
      </c>
      <c r="E9" s="492">
        <f>SUM(E10:E12)</f>
        <v>13193808.703812102</v>
      </c>
      <c r="F9" s="492" t="e">
        <f>SUM(F10:F12)</f>
        <v>#REF!</v>
      </c>
      <c r="G9" s="493" t="e">
        <f>SUM(G10:G12)</f>
        <v>#REF!</v>
      </c>
      <c r="H9" s="492" t="e">
        <f>SUM(H10:H12)</f>
        <v>#REF!</v>
      </c>
      <c r="I9" s="494" t="e">
        <f>SUM(D9:H9)</f>
        <v>#REF!</v>
      </c>
      <c r="M9" s="322"/>
      <c r="N9" s="323" t="s">
        <v>84</v>
      </c>
      <c r="O9" s="324"/>
      <c r="P9" s="492">
        <f>SUM(P10:P12)</f>
        <v>12999274.499999998</v>
      </c>
      <c r="Q9" s="492">
        <f>SUM(Q10:Q12)</f>
        <v>14619676.469999999</v>
      </c>
      <c r="R9" s="492" t="e">
        <f>SUM(R10:R12)</f>
        <v>#REF!</v>
      </c>
      <c r="S9" s="493" t="e">
        <f>SUM(S10:S12)</f>
        <v>#REF!</v>
      </c>
      <c r="T9" s="492" t="e">
        <f>SUM(T10+T11)</f>
        <v>#REF!</v>
      </c>
      <c r="U9" s="494" t="e">
        <f>SUM(P9:T9)</f>
        <v>#REF!</v>
      </c>
    </row>
    <row r="10" spans="1:21">
      <c r="A10" s="325"/>
      <c r="B10" s="326"/>
      <c r="C10" s="327" t="s">
        <v>81</v>
      </c>
      <c r="D10" s="495">
        <f>('TCO TO BE- SW'!F79+NPV(Faktory!$D$5,'TCO TO BE- SW'!F80:F88)+'TCO TO BE- SW'!F89+NPV(Faktory!$D$5,'TCO TO BE- SW'!F90:F98)+'TCO TO BE- SW'!F99+NPV(Faktory!$D$5,'TCO TO BE- SW'!F100:F108)+'TCO TO BE- SW'!F109+NPV(Faktory!$D$5,'TCO TO BE- SW'!F110:F118)+'TCO TO BE- SW'!F119+NPV(Faktory!$D$5,'TCO TO BE- SW'!F120:F128))</f>
        <v>7331813.5970542422</v>
      </c>
      <c r="E10" s="495">
        <f>('TCO TO BE- SW'!G79+NPV(Faktory!$D$5,'TCO TO BE- SW'!G80:G88)+'TCO TO BE- SW'!G89+NPV(Faktory!$D$5,'TCO TO BE- SW'!G90:G98)+'TCO TO BE- SW'!G99+NPV(Faktory!$D$5,'TCO TO BE- SW'!G100:G108)+'TCO TO BE- SW'!G109+NPV(Faktory!$D$5,'TCO TO BE- SW'!G110:G118)+'TCO TO BE- SW'!G119+NPV(Faktory!$D$5,'TCO TO BE- SW'!G120:G128))</f>
        <v>9582887.1814832427</v>
      </c>
      <c r="F10" s="495" t="e">
        <f>('TCO TO BE- SW'!#REF!+NPV(Faktory!$D$5,'TCO TO BE- SW'!#REF!)+'TCO TO BE- SW'!#REF!+NPV(Faktory!$D$5,'TCO TO BE- SW'!#REF!)+'TCO TO BE- SW'!#REF!+NPV(Faktory!$D$5,'TCO TO BE- SW'!#REF!)+'TCO TO BE- SW'!#REF!+NPV(Faktory!$D$5,'TCO TO BE- SW'!#REF!)+'TCO TO BE- SW'!#REF!+NPV(Faktory!$D$5,'TCO TO BE- SW'!#REF!))</f>
        <v>#REF!</v>
      </c>
      <c r="G10" s="495" t="e">
        <f>('TCO TO BE- SW'!#REF!+NPV(Faktory!$D$5,'TCO TO BE- SW'!#REF!)+'TCO TO BE- SW'!#REF!+NPV(Faktory!$D$5,'TCO TO BE- SW'!#REF!)+'TCO TO BE- SW'!#REF!+NPV(Faktory!$D$5,'TCO TO BE- SW'!#REF!)+'TCO TO BE- SW'!#REF!+NPV(Faktory!$D$5,'TCO TO BE- SW'!#REF!)+'TCO TO BE- SW'!#REF!+NPV(Faktory!$D$5,'TCO TO BE- SW'!#REF!))</f>
        <v>#REF!</v>
      </c>
      <c r="H10" s="495" t="e">
        <f>('TCO TO BE- SW'!#REF!+NPV(Faktory!$D$5,'TCO TO BE- SW'!#REF!)+'TCO TO BE- SW'!#REF!+NPV(Faktory!$D$5,'TCO TO BE- SW'!#REF!)+'TCO TO BE- SW'!#REF!+NPV(Faktory!$D$5,'TCO TO BE- SW'!#REF!)+'TCO TO BE- SW'!#REF!+NPV(Faktory!$D$5,'TCO TO BE- SW'!#REF!)+'TCO TO BE- SW'!#REF!+NPV(Faktory!$D$5,'TCO TO BE- SW'!#REF!))</f>
        <v>#REF!</v>
      </c>
      <c r="I10" s="497" t="e">
        <f>SUM(D10:H10)</f>
        <v>#REF!</v>
      </c>
      <c r="M10" s="325"/>
      <c r="N10" s="326"/>
      <c r="O10" s="327" t="s">
        <v>81</v>
      </c>
      <c r="P10" s="495">
        <f>'TCO TO BE- SW'!F78</f>
        <v>9194063.9999999981</v>
      </c>
      <c r="Q10" s="495">
        <f>'TCO TO BE- SW'!G78</f>
        <v>10864307.199999999</v>
      </c>
      <c r="R10" s="495" t="e">
        <f>'TCO TO BE- SW'!#REF!</f>
        <v>#REF!</v>
      </c>
      <c r="S10" s="495" t="e">
        <f>'TCO TO BE- SW'!#REF!</f>
        <v>#REF!</v>
      </c>
      <c r="T10" s="495" t="e">
        <f>'TCO TO BE- SW'!#REF!</f>
        <v>#REF!</v>
      </c>
      <c r="U10" s="497" t="e">
        <f>SUM(P10:T10)</f>
        <v>#REF!</v>
      </c>
    </row>
    <row r="11" spans="1:21">
      <c r="A11" s="325"/>
      <c r="B11" s="326"/>
      <c r="C11" s="327" t="s">
        <v>82</v>
      </c>
      <c r="D11" s="495">
        <f>('TCO TO BE- SW'!F58+NPV(Faktory!$D$5,'TCO TO BE- SW'!F59:F67)+'TCO TO BE- SW'!F68+NPV(Faktory!$D$5,'TCO TO BE- SW'!F69:F77))</f>
        <v>2480833.3032689858</v>
      </c>
      <c r="E11" s="495">
        <f>('TCO TO BE- SW'!G58+NPV(Faktory!$D$5,'TCO TO BE- SW'!G59:G67)+'TCO TO BE- SW'!G68+NPV(Faktory!$D$5,'TCO TO BE- SW'!G69:G77))</f>
        <v>2943817.7276190477</v>
      </c>
      <c r="F11" s="495" t="e">
        <f>('TCO TO BE- SW'!#REF!+NPV(Faktory!$D$5,'TCO TO BE- SW'!#REF!)+'TCO TO BE- SW'!#REF!+NPV(Faktory!$D$5,'TCO TO BE- SW'!#REF!))</f>
        <v>#REF!</v>
      </c>
      <c r="G11" s="495" t="e">
        <f>('TCO TO BE- SW'!#REF!+NPV(Faktory!$D$5,'TCO TO BE- SW'!#REF!)+'TCO TO BE- SW'!#REF!+NPV(Faktory!$D$5,'TCO TO BE- SW'!#REF!))</f>
        <v>#REF!</v>
      </c>
      <c r="H11" s="495" t="e">
        <f>('TCO TO BE- SW'!#REF!+NPV(Faktory!$D$5,'TCO TO BE- SW'!#REF!)+'TCO TO BE- SW'!#REF!+NPV(Faktory!$D$5,'TCO TO BE- SW'!#REF!))</f>
        <v>#REF!</v>
      </c>
      <c r="I11" s="497" t="e">
        <f>SUM(D11:H11)</f>
        <v>#REF!</v>
      </c>
      <c r="M11" s="325"/>
      <c r="N11" s="326"/>
      <c r="O11" s="327" t="s">
        <v>82</v>
      </c>
      <c r="P11" s="495">
        <f>'TCO TO BE- SW'!F57</f>
        <v>3059802.5</v>
      </c>
      <c r="Q11" s="495">
        <f>'TCO TO BE- SW'!G57</f>
        <v>3015618.16</v>
      </c>
      <c r="R11" s="495" t="e">
        <f>'TCO TO BE- SW'!#REF!</f>
        <v>#REF!</v>
      </c>
      <c r="S11" s="495" t="e">
        <f>'TCO TO BE- SW'!#REF!</f>
        <v>#REF!</v>
      </c>
      <c r="T11" s="495" t="e">
        <f>'TCO TO BE- SW'!#REF!</f>
        <v>#REF!</v>
      </c>
      <c r="U11" s="497" t="e">
        <f>SUM(P11:T11)</f>
        <v>#REF!</v>
      </c>
    </row>
    <row r="12" spans="1:21">
      <c r="A12" s="325"/>
      <c r="B12" s="326"/>
      <c r="C12" s="327" t="s">
        <v>83</v>
      </c>
      <c r="D12" s="495">
        <f>('TCO TO BE - HW'!F35+NPV(Faktory!$D$5,'TCO TO BE - HW'!F36:F44)+'TCO TO BE - HW'!F45+NPV(Faktory!$D$5,'TCO TO BE - HW'!F46:F54)+'TCO TO BE - HW'!F55+NPV(Faktory!$D$5,'TCO TO BE - HW'!F56:F64)+'TCO TO BE - HW'!F65+NPV(Faktory!$D$5,'TCO TO BE - HW'!F66:F74)+'TCO TO BE - HW'!F75+NPV(Faktory!$D$5,'TCO TO BE - HW'!F76:F84))</f>
        <v>592969.44835691876</v>
      </c>
      <c r="E12" s="495">
        <f>('TCO TO BE - HW'!G35+NPV(Faktory!$D$5,'TCO TO BE - HW'!G36:G44)+'TCO TO BE - HW'!G45+NPV(Faktory!$D$5,'TCO TO BE - HW'!G46:G54)+'TCO TO BE - HW'!G55+NPV(Faktory!$D$5,'TCO TO BE - HW'!G56:G64)+'TCO TO BE - HW'!G65+NPV(Faktory!$D$5,'TCO TO BE - HW'!G66:G74)+'TCO TO BE - HW'!G75+NPV(Faktory!$D$5,'TCO TO BE - HW'!G76:G84))</f>
        <v>667103.79470981122</v>
      </c>
      <c r="F12" s="495">
        <f>('TCO TO BE - HW'!H35+NPV(Faktory!$D$5,'TCO TO BE - HW'!H36:H44)+'TCO TO BE - HW'!H45+NPV(Faktory!$D$5,'TCO TO BE - HW'!H46:H54)+'TCO TO BE - HW'!H55+NPV(Faktory!$D$5,'TCO TO BE - HW'!H56:H64)+'TCO TO BE - HW'!H65+NPV(Faktory!$D$5,'TCO TO BE - HW'!H66:H74)+'TCO TO BE - HW'!H75+NPV(Faktory!$D$5,'TCO TO BE - HW'!H76:H84))</f>
        <v>140027.61201139874</v>
      </c>
      <c r="G12" s="495" t="e">
        <f>('TCO TO BE - HW'!#REF!+NPV(Faktory!$D$5,'TCO TO BE - HW'!#REF!)+'TCO TO BE - HW'!#REF!+NPV(Faktory!$D$5,'TCO TO BE - HW'!#REF!)+'TCO TO BE - HW'!#REF!+NPV(Faktory!$D$5,'TCO TO BE - HW'!#REF!)+'TCO TO BE - HW'!#REF!+NPV(Faktory!$D$5,'TCO TO BE - HW'!#REF!)+'TCO TO BE - HW'!#REF!+NPV(Faktory!$D$5,'TCO TO BE - HW'!#REF!))</f>
        <v>#REF!</v>
      </c>
      <c r="H12" s="498" t="s">
        <v>79</v>
      </c>
      <c r="I12" s="497" t="e">
        <f t="shared" si="0"/>
        <v>#REF!</v>
      </c>
      <c r="M12" s="325"/>
      <c r="N12" s="326"/>
      <c r="O12" s="327" t="s">
        <v>83</v>
      </c>
      <c r="P12" s="495">
        <f>'TCO TO BE - HW'!F34</f>
        <v>745408.00000000047</v>
      </c>
      <c r="Q12" s="495">
        <f>'TCO TO BE - HW'!G34</f>
        <v>739751.11</v>
      </c>
      <c r="R12" s="495">
        <f>'TCO TO BE - HW'!H34</f>
        <v>186760</v>
      </c>
      <c r="S12" s="495" t="e">
        <f>'TCO TO BE - HW'!#REF!</f>
        <v>#REF!</v>
      </c>
      <c r="T12" s="498" t="s">
        <v>79</v>
      </c>
      <c r="U12" s="497" t="e">
        <f t="shared" si="1"/>
        <v>#REF!</v>
      </c>
    </row>
    <row r="13" spans="1:21">
      <c r="A13" s="325"/>
      <c r="B13" s="323" t="s">
        <v>85</v>
      </c>
      <c r="C13" s="324"/>
      <c r="D13" s="567">
        <f>'TCO TO BE- SW'!F130+NPV(0.05,'TCO TO BE- SW'!F131:F139)+'TCO TO BE- SW'!F140+NPV(0.05,'TCO TO BE- SW'!F141:F149)</f>
        <v>1226984.4242831541</v>
      </c>
      <c r="E13" s="567">
        <f>'TCO TO BE- SW'!G130+NPV(0.05,'TCO TO BE- SW'!G131:G139)+'TCO TO BE- SW'!G140+NPV(0.05,'TCO TO BE- SW'!G141:G149)</f>
        <v>0</v>
      </c>
      <c r="F13" s="567" t="e">
        <f>'TCO TO BE- SW'!#REF!+NPV(0.05,'TCO TO BE- SW'!#REF!)+'TCO TO BE- SW'!#REF!+NPV(0.05,'TCO TO BE- SW'!#REF!)</f>
        <v>#REF!</v>
      </c>
      <c r="G13" s="568" t="e">
        <f>'TCO TO BE- SW'!#REF!+NPV(0.05,'TCO TO BE- SW'!#REF!)+'TCO TO BE- SW'!#REF!+NPV(0.05,'TCO TO BE- SW'!#REF!)</f>
        <v>#REF!</v>
      </c>
      <c r="H13" s="567" t="e">
        <f>'TCO TO BE- SW'!#REF!+NPV(0.05,'TCO TO BE- SW'!#REF!)+'TCO TO BE- SW'!#REF!+NPV(0.05,'TCO TO BE- SW'!#REF!)</f>
        <v>#REF!</v>
      </c>
      <c r="I13" s="494" t="e">
        <f>SUM(D13:H13)</f>
        <v>#REF!</v>
      </c>
      <c r="M13" s="325"/>
      <c r="N13" s="323" t="s">
        <v>85</v>
      </c>
      <c r="O13" s="324"/>
      <c r="P13" s="567">
        <f>'TCO TO BE- SW'!F129</f>
        <v>1256910.8736559139</v>
      </c>
      <c r="Q13" s="567">
        <f>'TCO TO BE- SW'!G129</f>
        <v>0</v>
      </c>
      <c r="R13" s="567" t="e">
        <f>'TCO TO BE- SW'!#REF!</f>
        <v>#REF!</v>
      </c>
      <c r="S13" s="568" t="e">
        <f>'TCO TO BE- SW'!#REF!</f>
        <v>#REF!</v>
      </c>
      <c r="T13" s="567" t="e">
        <f>'TCO TO BE- SW'!#REF!</f>
        <v>#REF!</v>
      </c>
      <c r="U13" s="494" t="e">
        <f>SUM(P13:T13)</f>
        <v>#REF!</v>
      </c>
    </row>
    <row r="14" spans="1:21">
      <c r="A14" s="325"/>
      <c r="B14" s="323" t="s">
        <v>86</v>
      </c>
      <c r="C14" s="324"/>
      <c r="D14" s="567">
        <f>'TCO TO BE- SW'!F151+NPV(0.05,'TCO TO BE- SW'!F152:F160)+'TCO TO BE- SW'!F161+NPV(0.05,'TCO TO BE- SW'!F162:F170)</f>
        <v>0</v>
      </c>
      <c r="E14" s="567">
        <f>'TCO TO BE- SW'!G151+NPV(0.05,'TCO TO BE- SW'!G152:G160)+'TCO TO BE- SW'!G161+NPV(0.05,'TCO TO BE- SW'!G162:G170)</f>
        <v>0</v>
      </c>
      <c r="F14" s="567" t="e">
        <f>'TCO TO BE- SW'!#REF!+NPV(0.05,'TCO TO BE- SW'!#REF!)+'TCO TO BE- SW'!#REF!+NPV(0.05,'TCO TO BE- SW'!#REF!)</f>
        <v>#REF!</v>
      </c>
      <c r="G14" s="568" t="e">
        <f>'TCO TO BE- SW'!#REF!+NPV(0.05,'TCO TO BE- SW'!#REF!)+'TCO TO BE- SW'!#REF!+NPV(0.05,'TCO TO BE- SW'!#REF!)</f>
        <v>#REF!</v>
      </c>
      <c r="H14" s="567" t="e">
        <f>'TCO TO BE- SW'!#REF!+NPV(0.05,'TCO TO BE- SW'!#REF!)+'TCO TO BE- SW'!#REF!+NPV(0.05,'TCO TO BE- SW'!#REF!)</f>
        <v>#REF!</v>
      </c>
      <c r="I14" s="494" t="e">
        <f>SUM(D14:H14)</f>
        <v>#REF!</v>
      </c>
      <c r="M14" s="325"/>
      <c r="N14" s="323" t="s">
        <v>86</v>
      </c>
      <c r="O14" s="324"/>
      <c r="P14" s="567">
        <f>'TCO TO BE- SW'!F150</f>
        <v>0</v>
      </c>
      <c r="Q14" s="567">
        <f>'TCO TO BE- SW'!G150</f>
        <v>0</v>
      </c>
      <c r="R14" s="567" t="e">
        <f>'TCO TO BE- SW'!#REF!</f>
        <v>#REF!</v>
      </c>
      <c r="S14" s="568" t="e">
        <f>'TCO TO BE- SW'!#REF!</f>
        <v>#REF!</v>
      </c>
      <c r="T14" s="567" t="e">
        <f>'TCO TO BE- SW'!#REF!</f>
        <v>#REF!</v>
      </c>
      <c r="U14" s="494" t="e">
        <f>SUM(P14:T14)</f>
        <v>#REF!</v>
      </c>
    </row>
    <row r="15" spans="1:21">
      <c r="A15" s="317" t="s">
        <v>33</v>
      </c>
      <c r="B15" s="318"/>
      <c r="C15" s="319"/>
      <c r="D15" s="489">
        <f>D16+D19</f>
        <v>1800716.0222851457</v>
      </c>
      <c r="E15" s="489">
        <f>E16+E19</f>
        <v>6961121.5979282577</v>
      </c>
      <c r="F15" s="489">
        <f>F16+F19</f>
        <v>492092.28995234321</v>
      </c>
      <c r="G15" s="490">
        <f>G16+G19</f>
        <v>2441420.6285769944</v>
      </c>
      <c r="H15" s="566" t="s">
        <v>79</v>
      </c>
      <c r="I15" s="491">
        <f t="shared" si="0"/>
        <v>11695350.538742742</v>
      </c>
      <c r="M15" s="317" t="s">
        <v>33</v>
      </c>
      <c r="N15" s="318"/>
      <c r="O15" s="319"/>
      <c r="P15" s="320">
        <f>P16+P19</f>
        <v>2386629.9864403857</v>
      </c>
      <c r="Q15" s="320">
        <f>Q16+Q19</f>
        <v>9030480.3318191599</v>
      </c>
      <c r="R15" s="320">
        <f>R16+R19</f>
        <v>633855.01416018396</v>
      </c>
      <c r="S15" s="321">
        <f>S16+S19</f>
        <v>3167190.8984643677</v>
      </c>
      <c r="T15" s="566" t="s">
        <v>79</v>
      </c>
      <c r="U15" s="475">
        <f t="shared" si="1"/>
        <v>15218156.230884098</v>
      </c>
    </row>
    <row r="16" spans="1:21">
      <c r="A16" s="322"/>
      <c r="B16" s="323" t="s">
        <v>87</v>
      </c>
      <c r="C16" s="324"/>
      <c r="D16" s="492">
        <f>D17+D18</f>
        <v>0</v>
      </c>
      <c r="E16" s="492">
        <f>E17+E18</f>
        <v>0</v>
      </c>
      <c r="F16" s="492">
        <f>F17+F18</f>
        <v>0</v>
      </c>
      <c r="G16" s="493">
        <f>G17+G18</f>
        <v>0</v>
      </c>
      <c r="H16" s="564" t="s">
        <v>79</v>
      </c>
      <c r="I16" s="494">
        <f t="shared" si="0"/>
        <v>0</v>
      </c>
      <c r="M16" s="322"/>
      <c r="N16" s="323" t="s">
        <v>87</v>
      </c>
      <c r="O16" s="324"/>
      <c r="P16" s="492">
        <f>P17+P18</f>
        <v>0</v>
      </c>
      <c r="Q16" s="492">
        <f>Q17+Q18</f>
        <v>0</v>
      </c>
      <c r="R16" s="492">
        <f>R17+R18</f>
        <v>0</v>
      </c>
      <c r="S16" s="493">
        <f>S17+S18</f>
        <v>0</v>
      </c>
      <c r="T16" s="564" t="s">
        <v>79</v>
      </c>
      <c r="U16" s="494">
        <f t="shared" si="1"/>
        <v>0</v>
      </c>
    </row>
    <row r="17" spans="1:22">
      <c r="A17" s="325"/>
      <c r="B17" s="326"/>
      <c r="C17" s="327" t="s">
        <v>88</v>
      </c>
      <c r="D17" s="495">
        <f>'Parametre - Agendové IS'!R117+NPV(Faktory!$D$3,'Parametre - Agendové IS'!R118:R126)</f>
        <v>0</v>
      </c>
      <c r="E17" s="495">
        <f>'Parametre - Agendové IS'!U117+NPV(Faktory!$D$3,'Parametre - Agendové IS'!U118:U126)</f>
        <v>0</v>
      </c>
      <c r="F17" s="495">
        <f>'Parametre - Agendové IS'!X117+NPV(Faktory!$D$3,'Parametre - Agendové IS'!X118:X126)</f>
        <v>0</v>
      </c>
      <c r="G17" s="496">
        <f>'Parametre - Agendové IS'!AA117+NPV(Faktory!$D$3,'Parametre - Agendové IS'!AA118:AA126)</f>
        <v>0</v>
      </c>
      <c r="H17" s="498" t="s">
        <v>79</v>
      </c>
      <c r="I17" s="497">
        <f t="shared" si="0"/>
        <v>0</v>
      </c>
      <c r="M17" s="325"/>
      <c r="N17" s="326"/>
      <c r="O17" s="327" t="s">
        <v>88</v>
      </c>
      <c r="P17" s="495">
        <f>SUM('Parametre - Agendové IS'!R117:R126)</f>
        <v>0</v>
      </c>
      <c r="Q17" s="495">
        <f>SUM('Parametre - Agendové IS'!U117:U126)</f>
        <v>0</v>
      </c>
      <c r="R17" s="495">
        <f>SUM('Parametre - Agendové IS'!X117:X126)</f>
        <v>0</v>
      </c>
      <c r="S17" s="496">
        <f>SUM('Parametre - Agendové IS'!AA117:AA126)</f>
        <v>0</v>
      </c>
      <c r="T17" s="498" t="s">
        <v>79</v>
      </c>
      <c r="U17" s="497">
        <f t="shared" si="1"/>
        <v>0</v>
      </c>
    </row>
    <row r="18" spans="1:22">
      <c r="A18" s="325"/>
      <c r="B18" s="326"/>
      <c r="C18" s="327" t="s">
        <v>89</v>
      </c>
      <c r="D18" s="495"/>
      <c r="E18" s="495"/>
      <c r="F18" s="495"/>
      <c r="G18" s="496"/>
      <c r="H18" s="498" t="s">
        <v>79</v>
      </c>
      <c r="I18" s="497">
        <f>'Prínosy - Agendové IS'!G15</f>
        <v>0</v>
      </c>
      <c r="J18" s="476"/>
      <c r="M18" s="325"/>
      <c r="N18" s="326"/>
      <c r="O18" s="327" t="s">
        <v>89</v>
      </c>
      <c r="P18" s="495"/>
      <c r="Q18" s="495"/>
      <c r="R18" s="495"/>
      <c r="S18" s="496"/>
      <c r="T18" s="498" t="s">
        <v>79</v>
      </c>
      <c r="U18" s="497">
        <f>'Prínosy - Agendové IS'!G14</f>
        <v>0</v>
      </c>
      <c r="V18" s="476"/>
    </row>
    <row r="19" spans="1:22">
      <c r="A19" s="322"/>
      <c r="B19" s="323" t="s">
        <v>90</v>
      </c>
      <c r="C19" s="324"/>
      <c r="D19" s="492">
        <f>D20+D21+D23</f>
        <v>1800716.0222851457</v>
      </c>
      <c r="E19" s="492">
        <f>E20+E21+E23</f>
        <v>6961121.5979282577</v>
      </c>
      <c r="F19" s="492">
        <f>F20+F21+F23</f>
        <v>492092.28995234321</v>
      </c>
      <c r="G19" s="493">
        <f>G20+G21+G23</f>
        <v>2441420.6285769944</v>
      </c>
      <c r="H19" s="564" t="s">
        <v>79</v>
      </c>
      <c r="I19" s="494">
        <f>SUM(D19:G19)</f>
        <v>11695350.538742742</v>
      </c>
      <c r="M19" s="322"/>
      <c r="N19" s="323" t="s">
        <v>90</v>
      </c>
      <c r="O19" s="324"/>
      <c r="P19" s="492">
        <f>P20+P21+P23</f>
        <v>2386629.9864403857</v>
      </c>
      <c r="Q19" s="492">
        <f>Q20+Q21+Q23</f>
        <v>9030480.3318191599</v>
      </c>
      <c r="R19" s="492">
        <f>R20+R21+R23</f>
        <v>633855.01416018396</v>
      </c>
      <c r="S19" s="493">
        <f>S20+S21+S23</f>
        <v>3167190.8984643677</v>
      </c>
      <c r="T19" s="564" t="s">
        <v>79</v>
      </c>
      <c r="U19" s="494">
        <f t="shared" si="1"/>
        <v>15218156.230884098</v>
      </c>
    </row>
    <row r="20" spans="1:22">
      <c r="A20" s="325"/>
      <c r="B20" s="326"/>
      <c r="C20" s="327" t="s">
        <v>91</v>
      </c>
      <c r="D20" s="495">
        <f>'Parametre - Agendové IS'!R97+NPV(Faktory!$D$5,'Parametre - Agendové IS'!R98:R106)</f>
        <v>0</v>
      </c>
      <c r="E20" s="495">
        <f>'Parametre - Agendové IS'!U97+NPV(Faktory!$D$5,'Parametre - Agendové IS'!U98:U106)</f>
        <v>0</v>
      </c>
      <c r="F20" s="495">
        <f>'Parametre - Agendové IS'!X97+NPV(Faktory!$D$5,'Parametre - Agendové IS'!X98:X106)</f>
        <v>0</v>
      </c>
      <c r="G20" s="496">
        <f>'Parametre - Agendové IS'!AA97+NPV(Faktory!$D$5,'Parametre - Agendové IS'!AA98:AA106)</f>
        <v>0</v>
      </c>
      <c r="H20" s="498" t="s">
        <v>79</v>
      </c>
      <c r="I20" s="497">
        <f>SUM(D20:G20)</f>
        <v>0</v>
      </c>
      <c r="M20" s="325"/>
      <c r="N20" s="326"/>
      <c r="O20" s="327" t="s">
        <v>91</v>
      </c>
      <c r="P20" s="495">
        <f>SUM('Parametre - Agendové IS'!R97:R106)</f>
        <v>0</v>
      </c>
      <c r="Q20" s="495">
        <f>SUM('Parametre - Agendové IS'!U97:U106)</f>
        <v>0</v>
      </c>
      <c r="R20" s="495">
        <f>SUM('Parametre - Agendové IS'!X97:X106)</f>
        <v>0</v>
      </c>
      <c r="S20" s="496">
        <f>SUM('Parametre - Agendové IS'!AA97:AA106)</f>
        <v>0</v>
      </c>
      <c r="T20" s="498" t="s">
        <v>79</v>
      </c>
      <c r="U20" s="497">
        <f t="shared" si="1"/>
        <v>0</v>
      </c>
    </row>
    <row r="21" spans="1:22">
      <c r="A21" s="325"/>
      <c r="B21" s="326"/>
      <c r="C21" s="327" t="s">
        <v>92</v>
      </c>
      <c r="D21" s="495">
        <f>-('Parametre - Agendové IS'!R77+NPV(Faktory!$D$5,'Parametre - Agendové IS'!R78:R86))</f>
        <v>1800716.0222851457</v>
      </c>
      <c r="E21" s="495">
        <f>-('Parametre - Agendové IS'!U77+NPV(Faktory!$D$5,'Parametre - Agendové IS'!U78:U86))</f>
        <v>6961121.5979282577</v>
      </c>
      <c r="F21" s="495">
        <f>-('Parametre - Agendové IS'!X77+NPV(Faktory!$D$5,'Parametre - Agendové IS'!X78:X86))</f>
        <v>492092.28995234321</v>
      </c>
      <c r="G21" s="496">
        <f>-('Parametre - Agendové IS'!AA77+NPV(Faktory!$D$5,'Parametre - Agendové IS'!AA78:AA86))</f>
        <v>2441420.6285769944</v>
      </c>
      <c r="H21" s="498" t="s">
        <v>79</v>
      </c>
      <c r="I21" s="497">
        <f>SUM(D21:G21)</f>
        <v>11695350.538742742</v>
      </c>
      <c r="M21" s="325"/>
      <c r="N21" s="326"/>
      <c r="O21" s="327" t="s">
        <v>92</v>
      </c>
      <c r="P21" s="495">
        <f>-(SUM('Parametre - Agendové IS'!R77:R86))</f>
        <v>2386629.9864403857</v>
      </c>
      <c r="Q21" s="495">
        <f>-(SUM('Parametre - Agendové IS'!U77:U86))</f>
        <v>9030480.3318191599</v>
      </c>
      <c r="R21" s="495">
        <f>-(SUM('Parametre - Agendové IS'!X77:X86))</f>
        <v>633855.01416018396</v>
      </c>
      <c r="S21" s="496">
        <f>-(SUM('Parametre - Agendové IS'!AA77:AA86))</f>
        <v>3167190.8984643677</v>
      </c>
      <c r="T21" s="498" t="s">
        <v>79</v>
      </c>
      <c r="U21" s="497">
        <f t="shared" si="1"/>
        <v>15218156.230884098</v>
      </c>
    </row>
    <row r="22" spans="1:22">
      <c r="A22" s="325"/>
      <c r="B22" s="326"/>
      <c r="C22" s="327" t="s">
        <v>93</v>
      </c>
      <c r="D22" s="498" t="s">
        <v>79</v>
      </c>
      <c r="E22" s="498" t="s">
        <v>79</v>
      </c>
      <c r="F22" s="498" t="s">
        <v>79</v>
      </c>
      <c r="G22" s="499" t="s">
        <v>79</v>
      </c>
      <c r="H22" s="498" t="s">
        <v>79</v>
      </c>
      <c r="I22" s="500" t="s">
        <v>79</v>
      </c>
      <c r="M22" s="325"/>
      <c r="N22" s="326"/>
      <c r="O22" s="327" t="s">
        <v>93</v>
      </c>
      <c r="P22" s="495">
        <f>SUM('Parametre - Agendové IS'!R87:R96)</f>
        <v>-110.96770000000012</v>
      </c>
      <c r="Q22" s="495">
        <f>SUM('Parametre - Agendové IS'!U87:U96)</f>
        <v>-419.8772486772487</v>
      </c>
      <c r="R22" s="495">
        <f>SUM('Parametre - Agendové IS'!X87:X96)</f>
        <v>-29.471444444444437</v>
      </c>
      <c r="S22" s="496">
        <f>SUM('Parametre - Agendové IS'!AA87:AA96)</f>
        <v>-147.26031746031745</v>
      </c>
      <c r="T22" s="498" t="s">
        <v>79</v>
      </c>
      <c r="U22" s="497">
        <f t="shared" si="1"/>
        <v>-707.57671058201061</v>
      </c>
    </row>
    <row r="23" spans="1:22" ht="15.95" thickBot="1">
      <c r="A23" s="328"/>
      <c r="B23" s="329"/>
      <c r="C23" s="330" t="s">
        <v>94</v>
      </c>
      <c r="D23" s="501">
        <f>'Parametre - Agendové IS'!R127+NPV(Faktory!$D$5,'Parametre - Agendové IS'!R128:R136)</f>
        <v>0</v>
      </c>
      <c r="E23" s="501">
        <f>'Parametre - Agendové IS'!U127+NPV(Faktory!$D$5,'Parametre - Agendové IS'!U128:U136)</f>
        <v>0</v>
      </c>
      <c r="F23" s="501">
        <f>'Parametre - Agendové IS'!X127+NPV(Faktory!$D$5,'Parametre - Agendové IS'!X128:X136)</f>
        <v>0</v>
      </c>
      <c r="G23" s="502">
        <f>'Parametre - Agendové IS'!AA127+NPV(Faktory!$D$5,'Parametre - Agendové IS'!AA128:AA136)</f>
        <v>0</v>
      </c>
      <c r="H23" s="565" t="s">
        <v>79</v>
      </c>
      <c r="I23" s="503">
        <f>SUM(D23:G23)</f>
        <v>0</v>
      </c>
      <c r="M23" s="325"/>
      <c r="N23" s="326"/>
      <c r="O23" s="327" t="s">
        <v>94</v>
      </c>
      <c r="P23" s="495">
        <f>SUM('Parametre - Agendové IS'!R127:R136)</f>
        <v>0</v>
      </c>
      <c r="Q23" s="495">
        <f>SUM('Parametre - Agendové IS'!U127:U136)</f>
        <v>0</v>
      </c>
      <c r="R23" s="495">
        <f>SUM('Parametre - Agendové IS'!X127:X136)</f>
        <v>0</v>
      </c>
      <c r="S23" s="496">
        <f>SUM('Parametre - Agendové IS'!AA127:AA136)</f>
        <v>0</v>
      </c>
      <c r="T23" s="565" t="s">
        <v>79</v>
      </c>
      <c r="U23" s="504">
        <f t="shared" si="1"/>
        <v>0</v>
      </c>
    </row>
    <row r="24" spans="1:22">
      <c r="A24" s="322"/>
      <c r="B24" s="323" t="s">
        <v>95</v>
      </c>
      <c r="C24" s="324"/>
      <c r="D24" s="562"/>
      <c r="E24" s="563"/>
      <c r="F24" s="563"/>
      <c r="G24" s="563"/>
      <c r="H24" s="569"/>
      <c r="I24" s="570"/>
      <c r="M24" s="322"/>
      <c r="N24" s="323" t="s">
        <v>95</v>
      </c>
      <c r="O24" s="324"/>
      <c r="P24" s="562"/>
      <c r="Q24" s="563"/>
      <c r="R24" s="563"/>
      <c r="S24" s="563"/>
      <c r="T24" s="569"/>
      <c r="U24" s="570"/>
    </row>
    <row r="25" spans="1:22">
      <c r="A25" s="477"/>
      <c r="B25" s="478"/>
      <c r="C25" s="269" t="s">
        <v>96</v>
      </c>
      <c r="M25" s="477"/>
      <c r="N25" s="478"/>
      <c r="O25" s="269" t="s">
        <v>96</v>
      </c>
    </row>
    <row r="26" spans="1:22">
      <c r="A26" s="477"/>
      <c r="B26" s="478"/>
      <c r="C26" s="269" t="s">
        <v>97</v>
      </c>
      <c r="M26" s="477"/>
      <c r="N26" s="478"/>
      <c r="O26" s="269" t="s">
        <v>97</v>
      </c>
    </row>
    <row r="27" spans="1:22">
      <c r="A27" s="477"/>
      <c r="B27" s="478"/>
      <c r="C27" s="269" t="s">
        <v>97</v>
      </c>
      <c r="M27" s="477"/>
      <c r="N27" s="478"/>
      <c r="O27" s="269" t="s">
        <v>97</v>
      </c>
    </row>
  </sheetData>
  <sheetProtection insertColumns="0" insertRows="0" deleteColumns="0" deleteRows="0"/>
  <mergeCells count="4">
    <mergeCell ref="M1:O1"/>
    <mergeCell ref="A1:C1"/>
    <mergeCell ref="M2:O2"/>
    <mergeCell ref="A2:C2"/>
  </mergeCells>
  <pageMargins left="0.7" right="0.7" top="0.75" bottom="0.75" header="0.3" footer="0.3"/>
  <pageSetup paperSize="9" scale="53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2"/>
  <sheetViews>
    <sheetView view="pageBreakPreview" topLeftCell="A2" zoomScaleNormal="100" zoomScaleSheetLayoutView="100" workbookViewId="0" xr3:uid="{51F8DEE0-4D01-5F28-A812-FC0BD7CAC4A5}">
      <selection activeCell="N19" sqref="N19"/>
    </sheetView>
  </sheetViews>
  <sheetFormatPr defaultColWidth="8.85546875" defaultRowHeight="15"/>
  <cols>
    <col min="1" max="1" width="9.28515625" customWidth="1"/>
    <col min="2" max="2" width="15" customWidth="1"/>
    <col min="3" max="3" width="15.140625" customWidth="1"/>
    <col min="4" max="4" width="14.140625" customWidth="1"/>
    <col min="5" max="5" width="14.42578125" customWidth="1"/>
    <col min="6" max="6" width="15.140625" customWidth="1"/>
    <col min="7" max="7" width="13.7109375" customWidth="1"/>
    <col min="8" max="8" width="9.85546875" customWidth="1"/>
    <col min="9" max="9" width="22.7109375" customWidth="1"/>
    <col min="10" max="10" width="22.140625" customWidth="1"/>
    <col min="11" max="11" width="20.42578125" customWidth="1"/>
    <col min="12" max="12" width="23.140625" customWidth="1"/>
  </cols>
  <sheetData>
    <row r="1" spans="1:12" ht="15.95" thickBot="1">
      <c r="A1" s="9"/>
      <c r="B1" s="692" t="s">
        <v>98</v>
      </c>
      <c r="C1" s="693"/>
      <c r="D1" s="693"/>
      <c r="E1" s="693"/>
      <c r="F1" s="693"/>
      <c r="G1" s="694"/>
      <c r="H1" s="695" t="s">
        <v>99</v>
      </c>
      <c r="I1" s="696"/>
      <c r="J1" s="696"/>
      <c r="K1" s="696"/>
      <c r="L1" s="697"/>
    </row>
    <row r="2" spans="1:12" ht="32.1">
      <c r="A2" s="10"/>
      <c r="B2" s="695" t="s">
        <v>100</v>
      </c>
      <c r="C2" s="696"/>
      <c r="D2" s="697"/>
      <c r="E2" s="695" t="s">
        <v>101</v>
      </c>
      <c r="F2" s="696"/>
      <c r="G2" s="697"/>
      <c r="H2" s="54" t="s">
        <v>102</v>
      </c>
      <c r="I2" s="49" t="s">
        <v>103</v>
      </c>
      <c r="J2" s="12" t="s">
        <v>104</v>
      </c>
      <c r="K2" s="698" t="s">
        <v>105</v>
      </c>
      <c r="L2" s="699"/>
    </row>
    <row r="3" spans="1:12" ht="17.100000000000001" thickBot="1">
      <c r="A3" s="11" t="s">
        <v>106</v>
      </c>
      <c r="B3" s="14" t="s">
        <v>107</v>
      </c>
      <c r="C3" s="15" t="s">
        <v>108</v>
      </c>
      <c r="D3" s="16" t="s">
        <v>109</v>
      </c>
      <c r="E3" s="14" t="s">
        <v>107</v>
      </c>
      <c r="F3" s="15" t="s">
        <v>108</v>
      </c>
      <c r="G3" s="16" t="s">
        <v>109</v>
      </c>
      <c r="H3" s="55"/>
      <c r="I3" s="50"/>
      <c r="J3" s="13"/>
      <c r="K3" s="690"/>
      <c r="L3" s="691"/>
    </row>
    <row r="4" spans="1:12" ht="15.95">
      <c r="A4" s="48" t="s">
        <v>110</v>
      </c>
      <c r="B4" s="27">
        <f>'Prínosy - Agendové IS'!Q4-'Výdavky - Agendové IS'!T4</f>
        <v>-5689346.2800000003</v>
      </c>
      <c r="C4" s="26">
        <f>'Prínosy - Agendové IS'!R4-'Výdavky - Agendové IS'!U4</f>
        <v>-15999489.886827957</v>
      </c>
      <c r="D4" s="34">
        <f>C4-B4</f>
        <v>-10310143.606827956</v>
      </c>
      <c r="E4" s="27">
        <f>'Prínosy - Agendové IS'!T4-('Výdavky - Agendové IS'!T4/1.2)</f>
        <v>-7980754.5094704796</v>
      </c>
      <c r="F4" s="27">
        <f>'Prínosy - Agendové IS'!U4-('Výdavky - Agendové IS'!U4/1.2)</f>
        <v>-16572540.848493777</v>
      </c>
      <c r="G4" s="34">
        <f t="shared" ref="G4:G13" si="0">F4-E4</f>
        <v>-8591786.3390232977</v>
      </c>
      <c r="H4" s="56">
        <v>0</v>
      </c>
      <c r="I4" s="51">
        <f>D4*(1/(1+Faktory!$D$3)^H4)</f>
        <v>-10310143.606827956</v>
      </c>
      <c r="J4" s="58">
        <f>G4*(1/(1+Faktory!$D$5)^H4)</f>
        <v>-8591786.3390232977</v>
      </c>
      <c r="K4" s="57">
        <f>J4</f>
        <v>-8591786.3390232977</v>
      </c>
      <c r="L4" s="31" t="str">
        <f>IF(K4&gt;0,"Rok návratu investície","&lt;")</f>
        <v>&lt;</v>
      </c>
    </row>
    <row r="5" spans="1:12" ht="15.95">
      <c r="A5" s="33" t="s">
        <v>111</v>
      </c>
      <c r="B5" s="27">
        <f>'Prínosy - Agendové IS'!Q5-'Výdavky - Agendové IS'!T5</f>
        <v>-5689346.2800000003</v>
      </c>
      <c r="C5" s="26">
        <f>'Prínosy - Agendové IS'!R5-'Výdavky - Agendové IS'!U5</f>
        <v>-14028531.136827957</v>
      </c>
      <c r="D5" s="29">
        <f t="shared" ref="D5:D13" si="1">C5-B5</f>
        <v>-8339184.8568279566</v>
      </c>
      <c r="E5" s="27">
        <f>'Prínosy - Agendové IS'!T5-('Výdavky - Agendové IS'!T5/1.2)</f>
        <v>-7954125.4440708663</v>
      </c>
      <c r="F5" s="27">
        <f>'Prínosy - Agendové IS'!U5-('Výdavky - Agendové IS'!U5/1.2)</f>
        <v>-14510482.54214377</v>
      </c>
      <c r="G5" s="29">
        <f t="shared" si="0"/>
        <v>-6556357.0980729032</v>
      </c>
      <c r="H5" s="56">
        <v>1</v>
      </c>
      <c r="I5" s="52">
        <f>D5*(1/(1+Faktory!$D$3)^H5)</f>
        <v>-8018446.9777191887</v>
      </c>
      <c r="J5" s="59">
        <f>G5*(1/(1+Faktory!$D$5)^H5)</f>
        <v>-6244149.6172122881</v>
      </c>
      <c r="K5" s="57">
        <f>J5+K4</f>
        <v>-14835935.956235586</v>
      </c>
      <c r="L5" s="31" t="str">
        <f>IF(L4="&lt;",IF(K5&gt;0,"Rok návratu investície","&lt;"),"&gt;")</f>
        <v>&lt;</v>
      </c>
    </row>
    <row r="6" spans="1:12" ht="15.95">
      <c r="A6" s="33" t="s">
        <v>112</v>
      </c>
      <c r="B6" s="27">
        <f>'Prínosy - Agendové IS'!Q6-'Výdavky - Agendové IS'!T6</f>
        <v>-5689346.2800000003</v>
      </c>
      <c r="C6" s="26">
        <f>'Prínosy - Agendové IS'!R6-'Výdavky - Agendové IS'!U6</f>
        <v>-2935830.02</v>
      </c>
      <c r="D6" s="29">
        <f t="shared" si="1"/>
        <v>2753516.2600000002</v>
      </c>
      <c r="E6" s="27">
        <f>'Prínosy - Agendové IS'!T6-('Výdavky - Agendové IS'!T6/1.2)</f>
        <v>-7954125.4440708663</v>
      </c>
      <c r="F6" s="27">
        <f>'Prínosy - Agendové IS'!U6-('Výdavky - Agendové IS'!U6/1.2)</f>
        <v>-4291942.0410453947</v>
      </c>
      <c r="G6" s="29">
        <f t="shared" si="0"/>
        <v>3662183.4030254716</v>
      </c>
      <c r="H6" s="56">
        <v>2</v>
      </c>
      <c r="I6" s="52">
        <f>D6*(1/(1+Faktory!$D$3)^H6)</f>
        <v>2545780.5658284025</v>
      </c>
      <c r="J6" s="59">
        <f>G6*(1/(1+Faktory!$D$5)^H6)</f>
        <v>3321708.3020639196</v>
      </c>
      <c r="K6" s="57">
        <f t="shared" ref="K6:K13" si="2">J6+K5</f>
        <v>-11514227.654171666</v>
      </c>
      <c r="L6" s="31" t="str">
        <f t="shared" ref="L6:L13" si="3">IF(L5="&lt;",IF(K6&gt;0,"Rok návratu investície","&lt;"),"&gt;")</f>
        <v>&lt;</v>
      </c>
    </row>
    <row r="7" spans="1:12" ht="15.95">
      <c r="A7" s="33" t="s">
        <v>113</v>
      </c>
      <c r="B7" s="27">
        <f>'Prínosy - Agendové IS'!Q7-'Výdavky - Agendové IS'!T7</f>
        <v>-5689346.2800000003</v>
      </c>
      <c r="C7" s="26">
        <f>'Prínosy - Agendové IS'!R7-'Výdavky - Agendové IS'!U7</f>
        <v>-2831539.6500000004</v>
      </c>
      <c r="D7" s="29">
        <f t="shared" si="1"/>
        <v>2857806.63</v>
      </c>
      <c r="E7" s="27">
        <f>'Prínosy - Agendové IS'!T7-('Výdavky - Agendové IS'!T7/1.2)</f>
        <v>-7954125.4440708663</v>
      </c>
      <c r="F7" s="27">
        <f>'Prínosy - Agendové IS'!U7-('Výdavky - Agendové IS'!U7/1.2)</f>
        <v>-3721432.6163567519</v>
      </c>
      <c r="G7" s="29">
        <f t="shared" si="0"/>
        <v>4232692.8277141144</v>
      </c>
      <c r="H7" s="56">
        <v>3</v>
      </c>
      <c r="I7" s="52">
        <f>D7*(1/(1+Faktory!$D$3)^H7)</f>
        <v>2540579.6878555985</v>
      </c>
      <c r="J7" s="59">
        <f>G7*(1/(1+Faktory!$D$5)^H7)</f>
        <v>3656359.2076139632</v>
      </c>
      <c r="K7" s="57">
        <f t="shared" si="2"/>
        <v>-7857868.4465577025</v>
      </c>
      <c r="L7" s="31" t="str">
        <f t="shared" si="3"/>
        <v>&lt;</v>
      </c>
    </row>
    <row r="8" spans="1:12" ht="15.95">
      <c r="A8" s="33" t="s">
        <v>114</v>
      </c>
      <c r="B8" s="27">
        <f>'Prínosy - Agendové IS'!Q8-'Výdavky - Agendové IS'!T8</f>
        <v>-5689346.2800000003</v>
      </c>
      <c r="C8" s="26">
        <f>'Prínosy - Agendové IS'!R8-'Výdavky - Agendové IS'!U8</f>
        <v>-2831539.6500000004</v>
      </c>
      <c r="D8" s="29">
        <f t="shared" si="1"/>
        <v>2857806.63</v>
      </c>
      <c r="E8" s="27">
        <f>'Prínosy - Agendové IS'!T8-('Výdavky - Agendové IS'!T8/1.2)</f>
        <v>-7954125.4440708663</v>
      </c>
      <c r="F8" s="27">
        <f>'Prínosy - Agendové IS'!U8-('Výdavky - Agendové IS'!U8/1.2)</f>
        <v>-3638216.7869829587</v>
      </c>
      <c r="G8" s="29">
        <f t="shared" si="0"/>
        <v>4315908.6570879072</v>
      </c>
      <c r="H8" s="56">
        <v>4</v>
      </c>
      <c r="I8" s="52">
        <f>D8*(1/(1+Faktory!$D$3)^H8)</f>
        <v>2442865.0844765366</v>
      </c>
      <c r="J8" s="59">
        <f>G8*(1/(1+Faktory!$D$5)^H8)</f>
        <v>3550708.7331619291</v>
      </c>
      <c r="K8" s="57">
        <f t="shared" si="2"/>
        <v>-4307159.7133957734</v>
      </c>
      <c r="L8" s="31" t="str">
        <f t="shared" si="3"/>
        <v>&lt;</v>
      </c>
    </row>
    <row r="9" spans="1:12" ht="15.95">
      <c r="A9" s="33" t="s">
        <v>115</v>
      </c>
      <c r="B9" s="27">
        <f>'Prínosy - Agendové IS'!Q9-'Výdavky - Agendové IS'!T9</f>
        <v>-5689346.2800000003</v>
      </c>
      <c r="C9" s="26">
        <f>'Prínosy - Agendové IS'!R9-'Výdavky - Agendové IS'!U9</f>
        <v>-2831539.6500000004</v>
      </c>
      <c r="D9" s="29">
        <f t="shared" si="1"/>
        <v>2857806.63</v>
      </c>
      <c r="E9" s="27">
        <f>'Prínosy - Agendové IS'!T9-('Výdavky - Agendové IS'!T9/1.2)</f>
        <v>-7954125.4440708663</v>
      </c>
      <c r="F9" s="27">
        <f>'Prínosy - Agendové IS'!U9-('Výdavky - Agendové IS'!U9/1.2)</f>
        <v>-3638216.7869829587</v>
      </c>
      <c r="G9" s="29">
        <f t="shared" si="0"/>
        <v>4315908.6570879072</v>
      </c>
      <c r="H9" s="56">
        <v>5</v>
      </c>
      <c r="I9" s="52">
        <f>D9*(1/(1+Faktory!$D$3)^H9)</f>
        <v>2348908.7350735925</v>
      </c>
      <c r="J9" s="59">
        <f>G9*(1/(1+Faktory!$D$5)^H9)</f>
        <v>3381627.3649161225</v>
      </c>
      <c r="K9" s="57">
        <f t="shared" si="2"/>
        <v>-925532.34847965091</v>
      </c>
      <c r="L9" s="31" t="str">
        <f t="shared" si="3"/>
        <v>&lt;</v>
      </c>
    </row>
    <row r="10" spans="1:12" ht="15.95">
      <c r="A10" s="33" t="s">
        <v>116</v>
      </c>
      <c r="B10" s="27">
        <f>'Prínosy - Agendové IS'!Q10-'Výdavky - Agendové IS'!T10</f>
        <v>-5689346.2800000003</v>
      </c>
      <c r="C10" s="26">
        <f>'Prínosy - Agendové IS'!R10-'Výdavky - Agendové IS'!U10</f>
        <v>-2831539.6500000004</v>
      </c>
      <c r="D10" s="29">
        <f t="shared" si="1"/>
        <v>2857806.63</v>
      </c>
      <c r="E10" s="27">
        <f>'Prínosy - Agendové IS'!T10-('Výdavky - Agendové IS'!T10/1.2)</f>
        <v>-7954125.4440708663</v>
      </c>
      <c r="F10" s="27">
        <f>'Prínosy - Agendové IS'!U10-('Výdavky - Agendové IS'!U10/1.2)</f>
        <v>-3638216.7869829587</v>
      </c>
      <c r="G10" s="29">
        <f t="shared" si="0"/>
        <v>4315908.6570879072</v>
      </c>
      <c r="H10" s="56">
        <v>6</v>
      </c>
      <c r="I10" s="52">
        <f>D10*(1/(1+Faktory!$D$3)^H10)</f>
        <v>2258566.0914169159</v>
      </c>
      <c r="J10" s="59">
        <f>G10*(1/(1+Faktory!$D$5)^H10)</f>
        <v>3220597.4903963073</v>
      </c>
      <c r="K10" s="57">
        <f t="shared" si="2"/>
        <v>2295065.1419166564</v>
      </c>
      <c r="L10" s="31" t="str">
        <f t="shared" si="3"/>
        <v>Rok návratu investície</v>
      </c>
    </row>
    <row r="11" spans="1:12" ht="15.95">
      <c r="A11" s="33" t="s">
        <v>117</v>
      </c>
      <c r="B11" s="27">
        <f>'Prínosy - Agendové IS'!Q11-'Výdavky - Agendové IS'!T11</f>
        <v>-5689346.2800000003</v>
      </c>
      <c r="C11" s="26">
        <f>'Prínosy - Agendové IS'!R11-'Výdavky - Agendové IS'!U11</f>
        <v>-2831539.6500000004</v>
      </c>
      <c r="D11" s="29">
        <f t="shared" si="1"/>
        <v>2857806.63</v>
      </c>
      <c r="E11" s="27">
        <f>'Prínosy - Agendové IS'!T11-('Výdavky - Agendové IS'!T11/1.2)</f>
        <v>-7954125.4440708663</v>
      </c>
      <c r="F11" s="27">
        <f>'Prínosy - Agendové IS'!U11-('Výdavky - Agendové IS'!U11/1.2)</f>
        <v>-3638216.7869829587</v>
      </c>
      <c r="G11" s="29">
        <f t="shared" si="0"/>
        <v>4315908.6570879072</v>
      </c>
      <c r="H11" s="56">
        <v>7</v>
      </c>
      <c r="I11" s="52">
        <f>D11*(1/(1+Faktory!$D$3)^H11)</f>
        <v>2171698.1648239582</v>
      </c>
      <c r="J11" s="59">
        <f>G11*(1/(1+Faktory!$D$5)^H11)</f>
        <v>3067235.7051393404</v>
      </c>
      <c r="K11" s="57">
        <f t="shared" si="2"/>
        <v>5362300.8470559968</v>
      </c>
      <c r="L11" s="31" t="str">
        <f t="shared" si="3"/>
        <v>&gt;</v>
      </c>
    </row>
    <row r="12" spans="1:12" ht="15.95">
      <c r="A12" s="33" t="s">
        <v>118</v>
      </c>
      <c r="B12" s="27">
        <f>'Prínosy - Agendové IS'!Q12-'Výdavky - Agendové IS'!T12</f>
        <v>-5689346.2800000003</v>
      </c>
      <c r="C12" s="26">
        <f>'Prínosy - Agendové IS'!R12-'Výdavky - Agendové IS'!U12</f>
        <v>-2831539.6500000004</v>
      </c>
      <c r="D12" s="29">
        <f t="shared" si="1"/>
        <v>2857806.63</v>
      </c>
      <c r="E12" s="27">
        <f>'Prínosy - Agendové IS'!T12-('Výdavky - Agendové IS'!T12/1.2)</f>
        <v>-7954125.4440708663</v>
      </c>
      <c r="F12" s="27">
        <f>'Prínosy - Agendové IS'!U12-('Výdavky - Agendové IS'!U12/1.2)</f>
        <v>-3638216.7869829587</v>
      </c>
      <c r="G12" s="29">
        <f t="shared" si="0"/>
        <v>4315908.6570879072</v>
      </c>
      <c r="H12" s="56">
        <v>8</v>
      </c>
      <c r="I12" s="52">
        <f>D12*(1/(1+Faktory!$D$3)^H12)</f>
        <v>2088171.3123307284</v>
      </c>
      <c r="J12" s="59">
        <f>G12*(1/(1+Faktory!$D$5)^H12)</f>
        <v>2921176.8620374673</v>
      </c>
      <c r="K12" s="57">
        <f t="shared" si="2"/>
        <v>8283477.7090934645</v>
      </c>
      <c r="L12" s="31" t="str">
        <f t="shared" si="3"/>
        <v>&gt;</v>
      </c>
    </row>
    <row r="13" spans="1:12" ht="17.100000000000001" thickBot="1">
      <c r="A13" s="33" t="s">
        <v>119</v>
      </c>
      <c r="B13" s="47">
        <f>'Prínosy - Agendové IS'!Q13-'Výdavky - Agendové IS'!T13</f>
        <v>-5689346.2800000003</v>
      </c>
      <c r="C13" s="43">
        <f>'Prínosy - Agendové IS'!R13-'Výdavky - Agendové IS'!U13</f>
        <v>-2831539.6500000004</v>
      </c>
      <c r="D13" s="35">
        <f t="shared" si="1"/>
        <v>2857806.63</v>
      </c>
      <c r="E13" s="27">
        <f>'Prínosy - Agendové IS'!T13-('Výdavky - Agendové IS'!T13/1.2)</f>
        <v>-7954125.4440708663</v>
      </c>
      <c r="F13" s="27">
        <f>'Prínosy - Agendové IS'!U13-('Výdavky - Agendové IS'!U13/1.2)</f>
        <v>-3638216.7869829587</v>
      </c>
      <c r="G13" s="35">
        <f t="shared" si="0"/>
        <v>4315908.6570879072</v>
      </c>
      <c r="H13" s="56">
        <v>9</v>
      </c>
      <c r="I13" s="53">
        <f>D13*(1/(1+Faktory!$D$3)^H13)</f>
        <v>2007857.0310872383</v>
      </c>
      <c r="J13" s="60">
        <f>G13*(1/(1+Faktory!$D$5)^H13)</f>
        <v>2782073.2019404448</v>
      </c>
      <c r="K13" s="57">
        <f t="shared" si="2"/>
        <v>11065550.91103391</v>
      </c>
      <c r="L13" s="31" t="str">
        <f t="shared" si="3"/>
        <v>&gt;</v>
      </c>
    </row>
    <row r="14" spans="1:12" ht="15.95" thickBot="1">
      <c r="A14" s="62" t="s">
        <v>120</v>
      </c>
      <c r="B14" s="44">
        <f t="shared" ref="B14:G14" si="4">SUM(B4:B13)</f>
        <v>-56893462.800000004</v>
      </c>
      <c r="C14" s="45">
        <f t="shared" si="4"/>
        <v>-52784628.593655907</v>
      </c>
      <c r="D14" s="45">
        <f t="shared" si="4"/>
        <v>4108834.2063440876</v>
      </c>
      <c r="E14" s="45">
        <f t="shared" si="4"/>
        <v>-79567883.506108284</v>
      </c>
      <c r="F14" s="45">
        <f t="shared" si="4"/>
        <v>-60925698.769937463</v>
      </c>
      <c r="G14" s="46">
        <f t="shared" si="4"/>
        <v>18642184.736170828</v>
      </c>
      <c r="H14" s="63" t="s">
        <v>120</v>
      </c>
      <c r="I14" s="162">
        <f>SUM(I4:I13)</f>
        <v>75836.088345825206</v>
      </c>
      <c r="J14" s="163">
        <f>SUM(J4:J13)</f>
        <v>11065550.91103391</v>
      </c>
      <c r="K14" s="639"/>
      <c r="L14" s="639"/>
    </row>
    <row r="16" spans="1:12" ht="15.95" thickBot="1">
      <c r="H16" s="101" t="s">
        <v>121</v>
      </c>
      <c r="J16" s="173" t="s">
        <v>122</v>
      </c>
      <c r="K16" s="173" t="s">
        <v>123</v>
      </c>
    </row>
    <row r="17" spans="5:11" s="131" customFormat="1" ht="15.95" thickBot="1">
      <c r="H17" s="167" t="s">
        <v>124</v>
      </c>
      <c r="I17" s="169" t="s">
        <v>125</v>
      </c>
      <c r="J17" s="170">
        <f>'Prínosy - Agendové IS'!V15/('Výdavky - Agendové IS'!V15/1.2)</f>
        <v>18.569954671598698</v>
      </c>
      <c r="K17" s="174">
        <v>1</v>
      </c>
    </row>
    <row r="18" spans="5:11" s="131" customFormat="1" ht="12.95">
      <c r="H18" s="168" t="s">
        <v>126</v>
      </c>
      <c r="I18" s="169" t="s">
        <v>127</v>
      </c>
      <c r="J18" s="171">
        <f>IRR($D$4:$D$13)</f>
        <v>4.0881758967952431E-2</v>
      </c>
      <c r="K18" s="175" t="s">
        <v>128</v>
      </c>
    </row>
    <row r="19" spans="5:11" s="131" customFormat="1" ht="24.95" thickBot="1">
      <c r="E19" s="164"/>
      <c r="H19" s="168" t="s">
        <v>129</v>
      </c>
      <c r="I19" s="169" t="s">
        <v>130</v>
      </c>
      <c r="J19" s="171">
        <f>IRR($G$4:$G$13,0.01)</f>
        <v>0.18468399652448531</v>
      </c>
      <c r="K19" s="175">
        <v>0.05</v>
      </c>
    </row>
    <row r="20" spans="5:11" ht="15.95" thickBot="1">
      <c r="H20" s="165"/>
      <c r="I20" s="166"/>
      <c r="J20" s="165"/>
      <c r="K20" s="176"/>
    </row>
    <row r="21" spans="5:11" s="131" customFormat="1" ht="24.95" thickBot="1">
      <c r="H21" s="168" t="s">
        <v>131</v>
      </c>
      <c r="I21" s="169" t="s">
        <v>132</v>
      </c>
      <c r="J21" s="172">
        <f>I14</f>
        <v>75836.088345825206</v>
      </c>
      <c r="K21" s="177" t="s">
        <v>128</v>
      </c>
    </row>
    <row r="22" spans="5:11" s="131" customFormat="1" ht="24.95" thickBot="1">
      <c r="H22" s="168" t="s">
        <v>133</v>
      </c>
      <c r="I22" s="169" t="s">
        <v>134</v>
      </c>
      <c r="J22" s="172">
        <f>J14</f>
        <v>11065550.91103391</v>
      </c>
      <c r="K22" s="177">
        <v>0</v>
      </c>
    </row>
  </sheetData>
  <mergeCells count="6">
    <mergeCell ref="K3:L3"/>
    <mergeCell ref="B1:G1"/>
    <mergeCell ref="H1:L1"/>
    <mergeCell ref="B2:D2"/>
    <mergeCell ref="E2:G2"/>
    <mergeCell ref="K2:L2"/>
  </mergeCells>
  <conditionalFormatting sqref="L4:L13">
    <cfRule type="cellIs" dxfId="0" priority="1" stopIfTrue="1" operator="equal">
      <formula>"Rok návratu investície"</formula>
    </cfRule>
  </conditionalFormatting>
  <pageMargins left="0.7" right="0.7" top="0.75" bottom="0.75" header="0.3" footer="0.3"/>
  <pageSetup paperSize="9" scale="4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CC"/>
  </sheetPr>
  <dimension ref="A1:AB136"/>
  <sheetViews>
    <sheetView view="pageBreakPreview" topLeftCell="B16" zoomScaleNormal="80" zoomScaleSheetLayoutView="100" workbookViewId="0" xr3:uid="{85D5C41F-068E-5C55-9968-509E7C2A5619}">
      <selection activeCell="H11" sqref="H11"/>
    </sheetView>
  </sheetViews>
  <sheetFormatPr defaultColWidth="9.140625" defaultRowHeight="15"/>
  <cols>
    <col min="1" max="1" width="19.140625" style="7" customWidth="1"/>
    <col min="2" max="2" width="9.85546875" style="7" bestFit="1" customWidth="1"/>
    <col min="3" max="3" width="8.85546875" style="7" bestFit="1" customWidth="1"/>
    <col min="4" max="4" width="14.42578125" style="7" bestFit="1" customWidth="1"/>
    <col min="5" max="5" width="15.7109375" style="7" bestFit="1" customWidth="1"/>
    <col min="6" max="6" width="14.42578125" style="7" bestFit="1" customWidth="1"/>
    <col min="7" max="7" width="10.28515625" style="455" customWidth="1"/>
    <col min="8" max="8" width="10.28515625" style="454" customWidth="1"/>
    <col min="9" max="9" width="10.28515625" style="572" customWidth="1"/>
    <col min="10" max="10" width="10.28515625" style="455" customWidth="1"/>
    <col min="11" max="11" width="10.28515625" style="454" customWidth="1"/>
    <col min="12" max="12" width="10.28515625" style="572" customWidth="1"/>
    <col min="13" max="13" width="10.7109375" style="455" bestFit="1" customWidth="1"/>
    <col min="14" max="14" width="10.7109375" style="454" bestFit="1" customWidth="1"/>
    <col min="15" max="15" width="10.7109375" style="572" bestFit="1" customWidth="1"/>
    <col min="16" max="16" width="14.42578125" style="7" bestFit="1" customWidth="1"/>
    <col min="17" max="17" width="14.7109375" style="454" customWidth="1"/>
    <col min="18" max="18" width="14.42578125" style="7" bestFit="1" customWidth="1"/>
    <col min="19" max="19" width="12.85546875" style="7" bestFit="1" customWidth="1"/>
    <col min="20" max="20" width="14.42578125" style="7" bestFit="1" customWidth="1"/>
    <col min="21" max="21" width="12.85546875" style="7" bestFit="1" customWidth="1"/>
    <col min="22" max="22" width="10.28515625" style="455" customWidth="1"/>
    <col min="23" max="23" width="14.42578125" style="454" bestFit="1" customWidth="1"/>
    <col min="24" max="24" width="14.42578125" style="7" bestFit="1" customWidth="1"/>
    <col min="25" max="25" width="10.28515625" style="455" customWidth="1"/>
    <col min="26" max="26" width="10.28515625" style="454" customWidth="1"/>
    <col min="27" max="27" width="10.28515625" style="7" customWidth="1"/>
    <col min="28" max="28" width="14.7109375" style="336" customWidth="1"/>
    <col min="29" max="31" width="9.140625" style="7"/>
    <col min="32" max="32" width="12.42578125" style="7" bestFit="1" customWidth="1"/>
    <col min="33" max="267" width="9.140625" style="7"/>
    <col min="268" max="268" width="1.7109375" style="7" customWidth="1"/>
    <col min="269" max="269" width="19.140625" style="7" customWidth="1"/>
    <col min="270" max="270" width="35.140625" style="7" customWidth="1"/>
    <col min="271" max="271" width="9.85546875" style="7" bestFit="1" customWidth="1"/>
    <col min="272" max="272" width="8.85546875" style="7" bestFit="1" customWidth="1"/>
    <col min="273" max="283" width="10.28515625" style="7" customWidth="1"/>
    <col min="284" max="523" width="9.140625" style="7"/>
    <col min="524" max="524" width="1.7109375" style="7" customWidth="1"/>
    <col min="525" max="525" width="19.140625" style="7" customWidth="1"/>
    <col min="526" max="526" width="35.140625" style="7" customWidth="1"/>
    <col min="527" max="527" width="9.85546875" style="7" bestFit="1" customWidth="1"/>
    <col min="528" max="528" width="8.85546875" style="7" bestFit="1" customWidth="1"/>
    <col min="529" max="539" width="10.28515625" style="7" customWidth="1"/>
    <col min="540" max="779" width="9.140625" style="7"/>
    <col min="780" max="780" width="1.7109375" style="7" customWidth="1"/>
    <col min="781" max="781" width="19.140625" style="7" customWidth="1"/>
    <col min="782" max="782" width="35.140625" style="7" customWidth="1"/>
    <col min="783" max="783" width="9.85546875" style="7" bestFit="1" customWidth="1"/>
    <col min="784" max="784" width="8.85546875" style="7" bestFit="1" customWidth="1"/>
    <col min="785" max="795" width="10.28515625" style="7" customWidth="1"/>
    <col min="796" max="1035" width="9.140625" style="7"/>
    <col min="1036" max="1036" width="1.7109375" style="7" customWidth="1"/>
    <col min="1037" max="1037" width="19.140625" style="7" customWidth="1"/>
    <col min="1038" max="1038" width="35.140625" style="7" customWidth="1"/>
    <col min="1039" max="1039" width="9.85546875" style="7" bestFit="1" customWidth="1"/>
    <col min="1040" max="1040" width="8.85546875" style="7" bestFit="1" customWidth="1"/>
    <col min="1041" max="1051" width="10.28515625" style="7" customWidth="1"/>
    <col min="1052" max="1291" width="9.140625" style="7"/>
    <col min="1292" max="1292" width="1.7109375" style="7" customWidth="1"/>
    <col min="1293" max="1293" width="19.140625" style="7" customWidth="1"/>
    <col min="1294" max="1294" width="35.140625" style="7" customWidth="1"/>
    <col min="1295" max="1295" width="9.85546875" style="7" bestFit="1" customWidth="1"/>
    <col min="1296" max="1296" width="8.85546875" style="7" bestFit="1" customWidth="1"/>
    <col min="1297" max="1307" width="10.28515625" style="7" customWidth="1"/>
    <col min="1308" max="1547" width="9.140625" style="7"/>
    <col min="1548" max="1548" width="1.7109375" style="7" customWidth="1"/>
    <col min="1549" max="1549" width="19.140625" style="7" customWidth="1"/>
    <col min="1550" max="1550" width="35.140625" style="7" customWidth="1"/>
    <col min="1551" max="1551" width="9.85546875" style="7" bestFit="1" customWidth="1"/>
    <col min="1552" max="1552" width="8.85546875" style="7" bestFit="1" customWidth="1"/>
    <col min="1553" max="1563" width="10.28515625" style="7" customWidth="1"/>
    <col min="1564" max="1803" width="9.140625" style="7"/>
    <col min="1804" max="1804" width="1.7109375" style="7" customWidth="1"/>
    <col min="1805" max="1805" width="19.140625" style="7" customWidth="1"/>
    <col min="1806" max="1806" width="35.140625" style="7" customWidth="1"/>
    <col min="1807" max="1807" width="9.85546875" style="7" bestFit="1" customWidth="1"/>
    <col min="1808" max="1808" width="8.85546875" style="7" bestFit="1" customWidth="1"/>
    <col min="1809" max="1819" width="10.28515625" style="7" customWidth="1"/>
    <col min="1820" max="2059" width="9.140625" style="7"/>
    <col min="2060" max="2060" width="1.7109375" style="7" customWidth="1"/>
    <col min="2061" max="2061" width="19.140625" style="7" customWidth="1"/>
    <col min="2062" max="2062" width="35.140625" style="7" customWidth="1"/>
    <col min="2063" max="2063" width="9.85546875" style="7" bestFit="1" customWidth="1"/>
    <col min="2064" max="2064" width="8.85546875" style="7" bestFit="1" customWidth="1"/>
    <col min="2065" max="2075" width="10.28515625" style="7" customWidth="1"/>
    <col min="2076" max="2315" width="9.140625" style="7"/>
    <col min="2316" max="2316" width="1.7109375" style="7" customWidth="1"/>
    <col min="2317" max="2317" width="19.140625" style="7" customWidth="1"/>
    <col min="2318" max="2318" width="35.140625" style="7" customWidth="1"/>
    <col min="2319" max="2319" width="9.85546875" style="7" bestFit="1" customWidth="1"/>
    <col min="2320" max="2320" width="8.85546875" style="7" bestFit="1" customWidth="1"/>
    <col min="2321" max="2331" width="10.28515625" style="7" customWidth="1"/>
    <col min="2332" max="2571" width="9.140625" style="7"/>
    <col min="2572" max="2572" width="1.7109375" style="7" customWidth="1"/>
    <col min="2573" max="2573" width="19.140625" style="7" customWidth="1"/>
    <col min="2574" max="2574" width="35.140625" style="7" customWidth="1"/>
    <col min="2575" max="2575" width="9.85546875" style="7" bestFit="1" customWidth="1"/>
    <col min="2576" max="2576" width="8.85546875" style="7" bestFit="1" customWidth="1"/>
    <col min="2577" max="2587" width="10.28515625" style="7" customWidth="1"/>
    <col min="2588" max="2827" width="9.140625" style="7"/>
    <col min="2828" max="2828" width="1.7109375" style="7" customWidth="1"/>
    <col min="2829" max="2829" width="19.140625" style="7" customWidth="1"/>
    <col min="2830" max="2830" width="35.140625" style="7" customWidth="1"/>
    <col min="2831" max="2831" width="9.85546875" style="7" bestFit="1" customWidth="1"/>
    <col min="2832" max="2832" width="8.85546875" style="7" bestFit="1" customWidth="1"/>
    <col min="2833" max="2843" width="10.28515625" style="7" customWidth="1"/>
    <col min="2844" max="3083" width="9.140625" style="7"/>
    <col min="3084" max="3084" width="1.7109375" style="7" customWidth="1"/>
    <col min="3085" max="3085" width="19.140625" style="7" customWidth="1"/>
    <col min="3086" max="3086" width="35.140625" style="7" customWidth="1"/>
    <col min="3087" max="3087" width="9.85546875" style="7" bestFit="1" customWidth="1"/>
    <col min="3088" max="3088" width="8.85546875" style="7" bestFit="1" customWidth="1"/>
    <col min="3089" max="3099" width="10.28515625" style="7" customWidth="1"/>
    <col min="3100" max="3339" width="9.140625" style="7"/>
    <col min="3340" max="3340" width="1.7109375" style="7" customWidth="1"/>
    <col min="3341" max="3341" width="19.140625" style="7" customWidth="1"/>
    <col min="3342" max="3342" width="35.140625" style="7" customWidth="1"/>
    <col min="3343" max="3343" width="9.85546875" style="7" bestFit="1" customWidth="1"/>
    <col min="3344" max="3344" width="8.85546875" style="7" bestFit="1" customWidth="1"/>
    <col min="3345" max="3355" width="10.28515625" style="7" customWidth="1"/>
    <col min="3356" max="3595" width="9.140625" style="7"/>
    <col min="3596" max="3596" width="1.7109375" style="7" customWidth="1"/>
    <col min="3597" max="3597" width="19.140625" style="7" customWidth="1"/>
    <col min="3598" max="3598" width="35.140625" style="7" customWidth="1"/>
    <col min="3599" max="3599" width="9.85546875" style="7" bestFit="1" customWidth="1"/>
    <col min="3600" max="3600" width="8.85546875" style="7" bestFit="1" customWidth="1"/>
    <col min="3601" max="3611" width="10.28515625" style="7" customWidth="1"/>
    <col min="3612" max="3851" width="9.140625" style="7"/>
    <col min="3852" max="3852" width="1.7109375" style="7" customWidth="1"/>
    <col min="3853" max="3853" width="19.140625" style="7" customWidth="1"/>
    <col min="3854" max="3854" width="35.140625" style="7" customWidth="1"/>
    <col min="3855" max="3855" width="9.85546875" style="7" bestFit="1" customWidth="1"/>
    <col min="3856" max="3856" width="8.85546875" style="7" bestFit="1" customWidth="1"/>
    <col min="3857" max="3867" width="10.28515625" style="7" customWidth="1"/>
    <col min="3868" max="4107" width="9.140625" style="7"/>
    <col min="4108" max="4108" width="1.7109375" style="7" customWidth="1"/>
    <col min="4109" max="4109" width="19.140625" style="7" customWidth="1"/>
    <col min="4110" max="4110" width="35.140625" style="7" customWidth="1"/>
    <col min="4111" max="4111" width="9.85546875" style="7" bestFit="1" customWidth="1"/>
    <col min="4112" max="4112" width="8.85546875" style="7" bestFit="1" customWidth="1"/>
    <col min="4113" max="4123" width="10.28515625" style="7" customWidth="1"/>
    <col min="4124" max="4363" width="9.140625" style="7"/>
    <col min="4364" max="4364" width="1.7109375" style="7" customWidth="1"/>
    <col min="4365" max="4365" width="19.140625" style="7" customWidth="1"/>
    <col min="4366" max="4366" width="35.140625" style="7" customWidth="1"/>
    <col min="4367" max="4367" width="9.85546875" style="7" bestFit="1" customWidth="1"/>
    <col min="4368" max="4368" width="8.85546875" style="7" bestFit="1" customWidth="1"/>
    <col min="4369" max="4379" width="10.28515625" style="7" customWidth="1"/>
    <col min="4380" max="4619" width="9.140625" style="7"/>
    <col min="4620" max="4620" width="1.7109375" style="7" customWidth="1"/>
    <col min="4621" max="4621" width="19.140625" style="7" customWidth="1"/>
    <col min="4622" max="4622" width="35.140625" style="7" customWidth="1"/>
    <col min="4623" max="4623" width="9.85546875" style="7" bestFit="1" customWidth="1"/>
    <col min="4624" max="4624" width="8.85546875" style="7" bestFit="1" customWidth="1"/>
    <col min="4625" max="4635" width="10.28515625" style="7" customWidth="1"/>
    <col min="4636" max="4875" width="9.140625" style="7"/>
    <col min="4876" max="4876" width="1.7109375" style="7" customWidth="1"/>
    <col min="4877" max="4877" width="19.140625" style="7" customWidth="1"/>
    <col min="4878" max="4878" width="35.140625" style="7" customWidth="1"/>
    <col min="4879" max="4879" width="9.85546875" style="7" bestFit="1" customWidth="1"/>
    <col min="4880" max="4880" width="8.85546875" style="7" bestFit="1" customWidth="1"/>
    <col min="4881" max="4891" width="10.28515625" style="7" customWidth="1"/>
    <col min="4892" max="5131" width="9.140625" style="7"/>
    <col min="5132" max="5132" width="1.7109375" style="7" customWidth="1"/>
    <col min="5133" max="5133" width="19.140625" style="7" customWidth="1"/>
    <col min="5134" max="5134" width="35.140625" style="7" customWidth="1"/>
    <col min="5135" max="5135" width="9.85546875" style="7" bestFit="1" customWidth="1"/>
    <col min="5136" max="5136" width="8.85546875" style="7" bestFit="1" customWidth="1"/>
    <col min="5137" max="5147" width="10.28515625" style="7" customWidth="1"/>
    <col min="5148" max="5387" width="9.140625" style="7"/>
    <col min="5388" max="5388" width="1.7109375" style="7" customWidth="1"/>
    <col min="5389" max="5389" width="19.140625" style="7" customWidth="1"/>
    <col min="5390" max="5390" width="35.140625" style="7" customWidth="1"/>
    <col min="5391" max="5391" width="9.85546875" style="7" bestFit="1" customWidth="1"/>
    <col min="5392" max="5392" width="8.85546875" style="7" bestFit="1" customWidth="1"/>
    <col min="5393" max="5403" width="10.28515625" style="7" customWidth="1"/>
    <col min="5404" max="5643" width="9.140625" style="7"/>
    <col min="5644" max="5644" width="1.7109375" style="7" customWidth="1"/>
    <col min="5645" max="5645" width="19.140625" style="7" customWidth="1"/>
    <col min="5646" max="5646" width="35.140625" style="7" customWidth="1"/>
    <col min="5647" max="5647" width="9.85546875" style="7" bestFit="1" customWidth="1"/>
    <col min="5648" max="5648" width="8.85546875" style="7" bestFit="1" customWidth="1"/>
    <col min="5649" max="5659" width="10.28515625" style="7" customWidth="1"/>
    <col min="5660" max="5899" width="9.140625" style="7"/>
    <col min="5900" max="5900" width="1.7109375" style="7" customWidth="1"/>
    <col min="5901" max="5901" width="19.140625" style="7" customWidth="1"/>
    <col min="5902" max="5902" width="35.140625" style="7" customWidth="1"/>
    <col min="5903" max="5903" width="9.85546875" style="7" bestFit="1" customWidth="1"/>
    <col min="5904" max="5904" width="8.85546875" style="7" bestFit="1" customWidth="1"/>
    <col min="5905" max="5915" width="10.28515625" style="7" customWidth="1"/>
    <col min="5916" max="6155" width="9.140625" style="7"/>
    <col min="6156" max="6156" width="1.7109375" style="7" customWidth="1"/>
    <col min="6157" max="6157" width="19.140625" style="7" customWidth="1"/>
    <col min="6158" max="6158" width="35.140625" style="7" customWidth="1"/>
    <col min="6159" max="6159" width="9.85546875" style="7" bestFit="1" customWidth="1"/>
    <col min="6160" max="6160" width="8.85546875" style="7" bestFit="1" customWidth="1"/>
    <col min="6161" max="6171" width="10.28515625" style="7" customWidth="1"/>
    <col min="6172" max="6411" width="9.140625" style="7"/>
    <col min="6412" max="6412" width="1.7109375" style="7" customWidth="1"/>
    <col min="6413" max="6413" width="19.140625" style="7" customWidth="1"/>
    <col min="6414" max="6414" width="35.140625" style="7" customWidth="1"/>
    <col min="6415" max="6415" width="9.85546875" style="7" bestFit="1" customWidth="1"/>
    <col min="6416" max="6416" width="8.85546875" style="7" bestFit="1" customWidth="1"/>
    <col min="6417" max="6427" width="10.28515625" style="7" customWidth="1"/>
    <col min="6428" max="6667" width="9.140625" style="7"/>
    <col min="6668" max="6668" width="1.7109375" style="7" customWidth="1"/>
    <col min="6669" max="6669" width="19.140625" style="7" customWidth="1"/>
    <col min="6670" max="6670" width="35.140625" style="7" customWidth="1"/>
    <col min="6671" max="6671" width="9.85546875" style="7" bestFit="1" customWidth="1"/>
    <col min="6672" max="6672" width="8.85546875" style="7" bestFit="1" customWidth="1"/>
    <col min="6673" max="6683" width="10.28515625" style="7" customWidth="1"/>
    <col min="6684" max="6923" width="9.140625" style="7"/>
    <col min="6924" max="6924" width="1.7109375" style="7" customWidth="1"/>
    <col min="6925" max="6925" width="19.140625" style="7" customWidth="1"/>
    <col min="6926" max="6926" width="35.140625" style="7" customWidth="1"/>
    <col min="6927" max="6927" width="9.85546875" style="7" bestFit="1" customWidth="1"/>
    <col min="6928" max="6928" width="8.85546875" style="7" bestFit="1" customWidth="1"/>
    <col min="6929" max="6939" width="10.28515625" style="7" customWidth="1"/>
    <col min="6940" max="7179" width="9.140625" style="7"/>
    <col min="7180" max="7180" width="1.7109375" style="7" customWidth="1"/>
    <col min="7181" max="7181" width="19.140625" style="7" customWidth="1"/>
    <col min="7182" max="7182" width="35.140625" style="7" customWidth="1"/>
    <col min="7183" max="7183" width="9.85546875" style="7" bestFit="1" customWidth="1"/>
    <col min="7184" max="7184" width="8.85546875" style="7" bestFit="1" customWidth="1"/>
    <col min="7185" max="7195" width="10.28515625" style="7" customWidth="1"/>
    <col min="7196" max="7435" width="9.140625" style="7"/>
    <col min="7436" max="7436" width="1.7109375" style="7" customWidth="1"/>
    <col min="7437" max="7437" width="19.140625" style="7" customWidth="1"/>
    <col min="7438" max="7438" width="35.140625" style="7" customWidth="1"/>
    <col min="7439" max="7439" width="9.85546875" style="7" bestFit="1" customWidth="1"/>
    <col min="7440" max="7440" width="8.85546875" style="7" bestFit="1" customWidth="1"/>
    <col min="7441" max="7451" width="10.28515625" style="7" customWidth="1"/>
    <col min="7452" max="7691" width="9.140625" style="7"/>
    <col min="7692" max="7692" width="1.7109375" style="7" customWidth="1"/>
    <col min="7693" max="7693" width="19.140625" style="7" customWidth="1"/>
    <col min="7694" max="7694" width="35.140625" style="7" customWidth="1"/>
    <col min="7695" max="7695" width="9.85546875" style="7" bestFit="1" customWidth="1"/>
    <col min="7696" max="7696" width="8.85546875" style="7" bestFit="1" customWidth="1"/>
    <col min="7697" max="7707" width="10.28515625" style="7" customWidth="1"/>
    <col min="7708" max="7947" width="9.140625" style="7"/>
    <col min="7948" max="7948" width="1.7109375" style="7" customWidth="1"/>
    <col min="7949" max="7949" width="19.140625" style="7" customWidth="1"/>
    <col min="7950" max="7950" width="35.140625" style="7" customWidth="1"/>
    <col min="7951" max="7951" width="9.85546875" style="7" bestFit="1" customWidth="1"/>
    <col min="7952" max="7952" width="8.85546875" style="7" bestFit="1" customWidth="1"/>
    <col min="7953" max="7963" width="10.28515625" style="7" customWidth="1"/>
    <col min="7964" max="8203" width="9.140625" style="7"/>
    <col min="8204" max="8204" width="1.7109375" style="7" customWidth="1"/>
    <col min="8205" max="8205" width="19.140625" style="7" customWidth="1"/>
    <col min="8206" max="8206" width="35.140625" style="7" customWidth="1"/>
    <col min="8207" max="8207" width="9.85546875" style="7" bestFit="1" customWidth="1"/>
    <col min="8208" max="8208" width="8.85546875" style="7" bestFit="1" customWidth="1"/>
    <col min="8209" max="8219" width="10.28515625" style="7" customWidth="1"/>
    <col min="8220" max="8459" width="9.140625" style="7"/>
    <col min="8460" max="8460" width="1.7109375" style="7" customWidth="1"/>
    <col min="8461" max="8461" width="19.140625" style="7" customWidth="1"/>
    <col min="8462" max="8462" width="35.140625" style="7" customWidth="1"/>
    <col min="8463" max="8463" width="9.85546875" style="7" bestFit="1" customWidth="1"/>
    <col min="8464" max="8464" width="8.85546875" style="7" bestFit="1" customWidth="1"/>
    <col min="8465" max="8475" width="10.28515625" style="7" customWidth="1"/>
    <col min="8476" max="8715" width="9.140625" style="7"/>
    <col min="8716" max="8716" width="1.7109375" style="7" customWidth="1"/>
    <col min="8717" max="8717" width="19.140625" style="7" customWidth="1"/>
    <col min="8718" max="8718" width="35.140625" style="7" customWidth="1"/>
    <col min="8719" max="8719" width="9.85546875" style="7" bestFit="1" customWidth="1"/>
    <col min="8720" max="8720" width="8.85546875" style="7" bestFit="1" customWidth="1"/>
    <col min="8721" max="8731" width="10.28515625" style="7" customWidth="1"/>
    <col min="8732" max="8971" width="9.140625" style="7"/>
    <col min="8972" max="8972" width="1.7109375" style="7" customWidth="1"/>
    <col min="8973" max="8973" width="19.140625" style="7" customWidth="1"/>
    <col min="8974" max="8974" width="35.140625" style="7" customWidth="1"/>
    <col min="8975" max="8975" width="9.85546875" style="7" bestFit="1" customWidth="1"/>
    <col min="8976" max="8976" width="8.85546875" style="7" bestFit="1" customWidth="1"/>
    <col min="8977" max="8987" width="10.28515625" style="7" customWidth="1"/>
    <col min="8988" max="9227" width="9.140625" style="7"/>
    <col min="9228" max="9228" width="1.7109375" style="7" customWidth="1"/>
    <col min="9229" max="9229" width="19.140625" style="7" customWidth="1"/>
    <col min="9230" max="9230" width="35.140625" style="7" customWidth="1"/>
    <col min="9231" max="9231" width="9.85546875" style="7" bestFit="1" customWidth="1"/>
    <col min="9232" max="9232" width="8.85546875" style="7" bestFit="1" customWidth="1"/>
    <col min="9233" max="9243" width="10.28515625" style="7" customWidth="1"/>
    <col min="9244" max="9483" width="9.140625" style="7"/>
    <col min="9484" max="9484" width="1.7109375" style="7" customWidth="1"/>
    <col min="9485" max="9485" width="19.140625" style="7" customWidth="1"/>
    <col min="9486" max="9486" width="35.140625" style="7" customWidth="1"/>
    <col min="9487" max="9487" width="9.85546875" style="7" bestFit="1" customWidth="1"/>
    <col min="9488" max="9488" width="8.85546875" style="7" bestFit="1" customWidth="1"/>
    <col min="9489" max="9499" width="10.28515625" style="7" customWidth="1"/>
    <col min="9500" max="9739" width="9.140625" style="7"/>
    <col min="9740" max="9740" width="1.7109375" style="7" customWidth="1"/>
    <col min="9741" max="9741" width="19.140625" style="7" customWidth="1"/>
    <col min="9742" max="9742" width="35.140625" style="7" customWidth="1"/>
    <col min="9743" max="9743" width="9.85546875" style="7" bestFit="1" customWidth="1"/>
    <col min="9744" max="9744" width="8.85546875" style="7" bestFit="1" customWidth="1"/>
    <col min="9745" max="9755" width="10.28515625" style="7" customWidth="1"/>
    <col min="9756" max="9995" width="9.140625" style="7"/>
    <col min="9996" max="9996" width="1.7109375" style="7" customWidth="1"/>
    <col min="9997" max="9997" width="19.140625" style="7" customWidth="1"/>
    <col min="9998" max="9998" width="35.140625" style="7" customWidth="1"/>
    <col min="9999" max="9999" width="9.85546875" style="7" bestFit="1" customWidth="1"/>
    <col min="10000" max="10000" width="8.85546875" style="7" bestFit="1" customWidth="1"/>
    <col min="10001" max="10011" width="10.28515625" style="7" customWidth="1"/>
    <col min="10012" max="10251" width="9.140625" style="7"/>
    <col min="10252" max="10252" width="1.7109375" style="7" customWidth="1"/>
    <col min="10253" max="10253" width="19.140625" style="7" customWidth="1"/>
    <col min="10254" max="10254" width="35.140625" style="7" customWidth="1"/>
    <col min="10255" max="10255" width="9.85546875" style="7" bestFit="1" customWidth="1"/>
    <col min="10256" max="10256" width="8.85546875" style="7" bestFit="1" customWidth="1"/>
    <col min="10257" max="10267" width="10.28515625" style="7" customWidth="1"/>
    <col min="10268" max="10507" width="9.140625" style="7"/>
    <col min="10508" max="10508" width="1.7109375" style="7" customWidth="1"/>
    <col min="10509" max="10509" width="19.140625" style="7" customWidth="1"/>
    <col min="10510" max="10510" width="35.140625" style="7" customWidth="1"/>
    <col min="10511" max="10511" width="9.85546875" style="7" bestFit="1" customWidth="1"/>
    <col min="10512" max="10512" width="8.85546875" style="7" bestFit="1" customWidth="1"/>
    <col min="10513" max="10523" width="10.28515625" style="7" customWidth="1"/>
    <col min="10524" max="10763" width="9.140625" style="7"/>
    <col min="10764" max="10764" width="1.7109375" style="7" customWidth="1"/>
    <col min="10765" max="10765" width="19.140625" style="7" customWidth="1"/>
    <col min="10766" max="10766" width="35.140625" style="7" customWidth="1"/>
    <col min="10767" max="10767" width="9.85546875" style="7" bestFit="1" customWidth="1"/>
    <col min="10768" max="10768" width="8.85546875" style="7" bestFit="1" customWidth="1"/>
    <col min="10769" max="10779" width="10.28515625" style="7" customWidth="1"/>
    <col min="10780" max="11019" width="9.140625" style="7"/>
    <col min="11020" max="11020" width="1.7109375" style="7" customWidth="1"/>
    <col min="11021" max="11021" width="19.140625" style="7" customWidth="1"/>
    <col min="11022" max="11022" width="35.140625" style="7" customWidth="1"/>
    <col min="11023" max="11023" width="9.85546875" style="7" bestFit="1" customWidth="1"/>
    <col min="11024" max="11024" width="8.85546875" style="7" bestFit="1" customWidth="1"/>
    <col min="11025" max="11035" width="10.28515625" style="7" customWidth="1"/>
    <col min="11036" max="11275" width="9.140625" style="7"/>
    <col min="11276" max="11276" width="1.7109375" style="7" customWidth="1"/>
    <col min="11277" max="11277" width="19.140625" style="7" customWidth="1"/>
    <col min="11278" max="11278" width="35.140625" style="7" customWidth="1"/>
    <col min="11279" max="11279" width="9.85546875" style="7" bestFit="1" customWidth="1"/>
    <col min="11280" max="11280" width="8.85546875" style="7" bestFit="1" customWidth="1"/>
    <col min="11281" max="11291" width="10.28515625" style="7" customWidth="1"/>
    <col min="11292" max="11531" width="9.140625" style="7"/>
    <col min="11532" max="11532" width="1.7109375" style="7" customWidth="1"/>
    <col min="11533" max="11533" width="19.140625" style="7" customWidth="1"/>
    <col min="11534" max="11534" width="35.140625" style="7" customWidth="1"/>
    <col min="11535" max="11535" width="9.85546875" style="7" bestFit="1" customWidth="1"/>
    <col min="11536" max="11536" width="8.85546875" style="7" bestFit="1" customWidth="1"/>
    <col min="11537" max="11547" width="10.28515625" style="7" customWidth="1"/>
    <col min="11548" max="11787" width="9.140625" style="7"/>
    <col min="11788" max="11788" width="1.7109375" style="7" customWidth="1"/>
    <col min="11789" max="11789" width="19.140625" style="7" customWidth="1"/>
    <col min="11790" max="11790" width="35.140625" style="7" customWidth="1"/>
    <col min="11791" max="11791" width="9.85546875" style="7" bestFit="1" customWidth="1"/>
    <col min="11792" max="11792" width="8.85546875" style="7" bestFit="1" customWidth="1"/>
    <col min="11793" max="11803" width="10.28515625" style="7" customWidth="1"/>
    <col min="11804" max="12043" width="9.140625" style="7"/>
    <col min="12044" max="12044" width="1.7109375" style="7" customWidth="1"/>
    <col min="12045" max="12045" width="19.140625" style="7" customWidth="1"/>
    <col min="12046" max="12046" width="35.140625" style="7" customWidth="1"/>
    <col min="12047" max="12047" width="9.85546875" style="7" bestFit="1" customWidth="1"/>
    <col min="12048" max="12048" width="8.85546875" style="7" bestFit="1" customWidth="1"/>
    <col min="12049" max="12059" width="10.28515625" style="7" customWidth="1"/>
    <col min="12060" max="12299" width="9.140625" style="7"/>
    <col min="12300" max="12300" width="1.7109375" style="7" customWidth="1"/>
    <col min="12301" max="12301" width="19.140625" style="7" customWidth="1"/>
    <col min="12302" max="12302" width="35.140625" style="7" customWidth="1"/>
    <col min="12303" max="12303" width="9.85546875" style="7" bestFit="1" customWidth="1"/>
    <col min="12304" max="12304" width="8.85546875" style="7" bestFit="1" customWidth="1"/>
    <col min="12305" max="12315" width="10.28515625" style="7" customWidth="1"/>
    <col min="12316" max="12555" width="9.140625" style="7"/>
    <col min="12556" max="12556" width="1.7109375" style="7" customWidth="1"/>
    <col min="12557" max="12557" width="19.140625" style="7" customWidth="1"/>
    <col min="12558" max="12558" width="35.140625" style="7" customWidth="1"/>
    <col min="12559" max="12559" width="9.85546875" style="7" bestFit="1" customWidth="1"/>
    <col min="12560" max="12560" width="8.85546875" style="7" bestFit="1" customWidth="1"/>
    <col min="12561" max="12571" width="10.28515625" style="7" customWidth="1"/>
    <col min="12572" max="12811" width="9.140625" style="7"/>
    <col min="12812" max="12812" width="1.7109375" style="7" customWidth="1"/>
    <col min="12813" max="12813" width="19.140625" style="7" customWidth="1"/>
    <col min="12814" max="12814" width="35.140625" style="7" customWidth="1"/>
    <col min="12815" max="12815" width="9.85546875" style="7" bestFit="1" customWidth="1"/>
    <col min="12816" max="12816" width="8.85546875" style="7" bestFit="1" customWidth="1"/>
    <col min="12817" max="12827" width="10.28515625" style="7" customWidth="1"/>
    <col min="12828" max="13067" width="9.140625" style="7"/>
    <col min="13068" max="13068" width="1.7109375" style="7" customWidth="1"/>
    <col min="13069" max="13069" width="19.140625" style="7" customWidth="1"/>
    <col min="13070" max="13070" width="35.140625" style="7" customWidth="1"/>
    <col min="13071" max="13071" width="9.85546875" style="7" bestFit="1" customWidth="1"/>
    <col min="13072" max="13072" width="8.85546875" style="7" bestFit="1" customWidth="1"/>
    <col min="13073" max="13083" width="10.28515625" style="7" customWidth="1"/>
    <col min="13084" max="13323" width="9.140625" style="7"/>
    <col min="13324" max="13324" width="1.7109375" style="7" customWidth="1"/>
    <col min="13325" max="13325" width="19.140625" style="7" customWidth="1"/>
    <col min="13326" max="13326" width="35.140625" style="7" customWidth="1"/>
    <col min="13327" max="13327" width="9.85546875" style="7" bestFit="1" customWidth="1"/>
    <col min="13328" max="13328" width="8.85546875" style="7" bestFit="1" customWidth="1"/>
    <col min="13329" max="13339" width="10.28515625" style="7" customWidth="1"/>
    <col min="13340" max="13579" width="9.140625" style="7"/>
    <col min="13580" max="13580" width="1.7109375" style="7" customWidth="1"/>
    <col min="13581" max="13581" width="19.140625" style="7" customWidth="1"/>
    <col min="13582" max="13582" width="35.140625" style="7" customWidth="1"/>
    <col min="13583" max="13583" width="9.85546875" style="7" bestFit="1" customWidth="1"/>
    <col min="13584" max="13584" width="8.85546875" style="7" bestFit="1" customWidth="1"/>
    <col min="13585" max="13595" width="10.28515625" style="7" customWidth="1"/>
    <col min="13596" max="13835" width="9.140625" style="7"/>
    <col min="13836" max="13836" width="1.7109375" style="7" customWidth="1"/>
    <col min="13837" max="13837" width="19.140625" style="7" customWidth="1"/>
    <col min="13838" max="13838" width="35.140625" style="7" customWidth="1"/>
    <col min="13839" max="13839" width="9.85546875" style="7" bestFit="1" customWidth="1"/>
    <col min="13840" max="13840" width="8.85546875" style="7" bestFit="1" customWidth="1"/>
    <col min="13841" max="13851" width="10.28515625" style="7" customWidth="1"/>
    <col min="13852" max="14091" width="9.140625" style="7"/>
    <col min="14092" max="14092" width="1.7109375" style="7" customWidth="1"/>
    <col min="14093" max="14093" width="19.140625" style="7" customWidth="1"/>
    <col min="14094" max="14094" width="35.140625" style="7" customWidth="1"/>
    <col min="14095" max="14095" width="9.85546875" style="7" bestFit="1" customWidth="1"/>
    <col min="14096" max="14096" width="8.85546875" style="7" bestFit="1" customWidth="1"/>
    <col min="14097" max="14107" width="10.28515625" style="7" customWidth="1"/>
    <col min="14108" max="14347" width="9.140625" style="7"/>
    <col min="14348" max="14348" width="1.7109375" style="7" customWidth="1"/>
    <col min="14349" max="14349" width="19.140625" style="7" customWidth="1"/>
    <col min="14350" max="14350" width="35.140625" style="7" customWidth="1"/>
    <col min="14351" max="14351" width="9.85546875" style="7" bestFit="1" customWidth="1"/>
    <col min="14352" max="14352" width="8.85546875" style="7" bestFit="1" customWidth="1"/>
    <col min="14353" max="14363" width="10.28515625" style="7" customWidth="1"/>
    <col min="14364" max="14603" width="9.140625" style="7"/>
    <col min="14604" max="14604" width="1.7109375" style="7" customWidth="1"/>
    <col min="14605" max="14605" width="19.140625" style="7" customWidth="1"/>
    <col min="14606" max="14606" width="35.140625" style="7" customWidth="1"/>
    <col min="14607" max="14607" width="9.85546875" style="7" bestFit="1" customWidth="1"/>
    <col min="14608" max="14608" width="8.85546875" style="7" bestFit="1" customWidth="1"/>
    <col min="14609" max="14619" width="10.28515625" style="7" customWidth="1"/>
    <col min="14620" max="14859" width="9.140625" style="7"/>
    <col min="14860" max="14860" width="1.7109375" style="7" customWidth="1"/>
    <col min="14861" max="14861" width="19.140625" style="7" customWidth="1"/>
    <col min="14862" max="14862" width="35.140625" style="7" customWidth="1"/>
    <col min="14863" max="14863" width="9.85546875" style="7" bestFit="1" customWidth="1"/>
    <col min="14864" max="14864" width="8.85546875" style="7" bestFit="1" customWidth="1"/>
    <col min="14865" max="14875" width="10.28515625" style="7" customWidth="1"/>
    <col min="14876" max="15115" width="9.140625" style="7"/>
    <col min="15116" max="15116" width="1.7109375" style="7" customWidth="1"/>
    <col min="15117" max="15117" width="19.140625" style="7" customWidth="1"/>
    <col min="15118" max="15118" width="35.140625" style="7" customWidth="1"/>
    <col min="15119" max="15119" width="9.85546875" style="7" bestFit="1" customWidth="1"/>
    <col min="15120" max="15120" width="8.85546875" style="7" bestFit="1" customWidth="1"/>
    <col min="15121" max="15131" width="10.28515625" style="7" customWidth="1"/>
    <col min="15132" max="15371" width="9.140625" style="7"/>
    <col min="15372" max="15372" width="1.7109375" style="7" customWidth="1"/>
    <col min="15373" max="15373" width="19.140625" style="7" customWidth="1"/>
    <col min="15374" max="15374" width="35.140625" style="7" customWidth="1"/>
    <col min="15375" max="15375" width="9.85546875" style="7" bestFit="1" customWidth="1"/>
    <col min="15376" max="15376" width="8.85546875" style="7" bestFit="1" customWidth="1"/>
    <col min="15377" max="15387" width="10.28515625" style="7" customWidth="1"/>
    <col min="15388" max="15627" width="9.140625" style="7"/>
    <col min="15628" max="15628" width="1.7109375" style="7" customWidth="1"/>
    <col min="15629" max="15629" width="19.140625" style="7" customWidth="1"/>
    <col min="15630" max="15630" width="35.140625" style="7" customWidth="1"/>
    <col min="15631" max="15631" width="9.85546875" style="7" bestFit="1" customWidth="1"/>
    <col min="15632" max="15632" width="8.85546875" style="7" bestFit="1" customWidth="1"/>
    <col min="15633" max="15643" width="10.28515625" style="7" customWidth="1"/>
    <col min="15644" max="15883" width="9.140625" style="7"/>
    <col min="15884" max="15884" width="1.7109375" style="7" customWidth="1"/>
    <col min="15885" max="15885" width="19.140625" style="7" customWidth="1"/>
    <col min="15886" max="15886" width="35.140625" style="7" customWidth="1"/>
    <col min="15887" max="15887" width="9.85546875" style="7" bestFit="1" customWidth="1"/>
    <col min="15888" max="15888" width="8.85546875" style="7" bestFit="1" customWidth="1"/>
    <col min="15889" max="15899" width="10.28515625" style="7" customWidth="1"/>
    <col min="15900" max="16139" width="9.140625" style="7"/>
    <col min="16140" max="16140" width="1.7109375" style="7" customWidth="1"/>
    <col min="16141" max="16141" width="19.140625" style="7" customWidth="1"/>
    <col min="16142" max="16142" width="35.140625" style="7" customWidth="1"/>
    <col min="16143" max="16143" width="9.85546875" style="7" bestFit="1" customWidth="1"/>
    <col min="16144" max="16144" width="8.85546875" style="7" bestFit="1" customWidth="1"/>
    <col min="16145" max="16155" width="10.28515625" style="7" customWidth="1"/>
    <col min="16156" max="16384" width="9.140625" style="7"/>
  </cols>
  <sheetData>
    <row r="1" spans="1:28" ht="36" customHeight="1">
      <c r="A1" s="335"/>
      <c r="B1" s="335"/>
      <c r="C1" s="335"/>
      <c r="D1" s="713" t="s">
        <v>76</v>
      </c>
      <c r="E1" s="714"/>
      <c r="F1" s="715"/>
      <c r="G1" s="700" t="s">
        <v>135</v>
      </c>
      <c r="H1" s="701"/>
      <c r="I1" s="702"/>
      <c r="J1" s="700" t="s">
        <v>135</v>
      </c>
      <c r="K1" s="701"/>
      <c r="L1" s="702"/>
      <c r="M1" s="700" t="s">
        <v>135</v>
      </c>
      <c r="N1" s="701"/>
      <c r="O1" s="702"/>
      <c r="P1" s="701" t="s">
        <v>136</v>
      </c>
      <c r="Q1" s="701"/>
      <c r="R1" s="712"/>
      <c r="S1" s="700" t="s">
        <v>137</v>
      </c>
      <c r="T1" s="701"/>
      <c r="U1" s="712"/>
      <c r="V1" s="700" t="s">
        <v>138</v>
      </c>
      <c r="W1" s="701"/>
      <c r="X1" s="712"/>
      <c r="Y1" s="700" t="s">
        <v>139</v>
      </c>
      <c r="Z1" s="701"/>
      <c r="AA1" s="702"/>
    </row>
    <row r="2" spans="1:28" ht="36" customHeight="1">
      <c r="A2" s="335" t="s">
        <v>140</v>
      </c>
      <c r="B2" s="335"/>
      <c r="C2" s="335"/>
      <c r="D2" s="637"/>
      <c r="E2" s="638"/>
      <c r="F2" s="636"/>
      <c r="G2" s="700" t="s">
        <v>141</v>
      </c>
      <c r="H2" s="701"/>
      <c r="I2" s="702"/>
      <c r="J2" s="700" t="s">
        <v>141</v>
      </c>
      <c r="K2" s="701"/>
      <c r="L2" s="702"/>
      <c r="M2" s="700" t="s">
        <v>141</v>
      </c>
      <c r="N2" s="701"/>
      <c r="O2" s="702"/>
      <c r="P2" s="719" t="s">
        <v>142</v>
      </c>
      <c r="Q2" s="701"/>
      <c r="R2" s="712"/>
      <c r="S2" s="700" t="s">
        <v>143</v>
      </c>
      <c r="T2" s="701"/>
      <c r="U2" s="712"/>
      <c r="V2" s="700" t="s">
        <v>144</v>
      </c>
      <c r="W2" s="701"/>
      <c r="X2" s="712"/>
      <c r="Y2" s="700" t="s">
        <v>141</v>
      </c>
      <c r="Z2" s="701"/>
      <c r="AA2" s="702"/>
    </row>
    <row r="3" spans="1:28" ht="36" customHeight="1">
      <c r="A3" s="335" t="s">
        <v>145</v>
      </c>
      <c r="B3" s="335"/>
      <c r="C3" s="335"/>
      <c r="D3" s="637"/>
      <c r="E3" s="638"/>
      <c r="F3" s="636"/>
      <c r="G3" s="703" t="s">
        <v>146</v>
      </c>
      <c r="H3" s="704"/>
      <c r="I3" s="705"/>
      <c r="J3" s="703" t="s">
        <v>147</v>
      </c>
      <c r="K3" s="704"/>
      <c r="L3" s="705"/>
      <c r="M3" s="703" t="s">
        <v>148</v>
      </c>
      <c r="N3" s="704"/>
      <c r="O3" s="705"/>
      <c r="P3" s="716" t="str">
        <f>'TCO TO BE- SW'!F1</f>
        <v>Špecializovaný modul Agenda DP</v>
      </c>
      <c r="Q3" s="704"/>
      <c r="R3" s="717"/>
      <c r="S3" s="703" t="s">
        <v>149</v>
      </c>
      <c r="T3" s="717"/>
      <c r="U3" s="718"/>
      <c r="V3" s="703" t="s">
        <v>150</v>
      </c>
      <c r="W3" s="717"/>
      <c r="X3" s="718"/>
      <c r="Y3" s="717" t="s">
        <v>151</v>
      </c>
      <c r="Z3" s="717"/>
      <c r="AA3" s="705"/>
    </row>
    <row r="4" spans="1:28" ht="36" customHeight="1">
      <c r="A4" s="335" t="s">
        <v>152</v>
      </c>
      <c r="B4" s="335"/>
      <c r="C4" s="335"/>
      <c r="D4" s="637"/>
      <c r="E4" s="638"/>
      <c r="F4" s="636"/>
      <c r="G4" s="703"/>
      <c r="H4" s="704"/>
      <c r="I4" s="705"/>
      <c r="J4" s="703"/>
      <c r="K4" s="704"/>
      <c r="L4" s="705"/>
      <c r="M4" s="703"/>
      <c r="N4" s="704"/>
      <c r="O4" s="705"/>
      <c r="P4" s="716"/>
      <c r="Q4" s="704"/>
      <c r="R4" s="717"/>
      <c r="S4" s="703"/>
      <c r="T4" s="717"/>
      <c r="U4" s="718"/>
      <c r="V4" s="703"/>
      <c r="W4" s="717"/>
      <c r="X4" s="718"/>
      <c r="Y4" s="717"/>
      <c r="Z4" s="717"/>
      <c r="AA4" s="705"/>
    </row>
    <row r="5" spans="1:28" s="62" customFormat="1" ht="15.75" customHeight="1">
      <c r="A5" s="337" t="s">
        <v>153</v>
      </c>
      <c r="B5" s="337" t="s">
        <v>154</v>
      </c>
      <c r="C5" s="337" t="s">
        <v>106</v>
      </c>
      <c r="D5" s="338" t="s">
        <v>107</v>
      </c>
      <c r="E5" s="339" t="s">
        <v>108</v>
      </c>
      <c r="F5" s="340" t="s">
        <v>155</v>
      </c>
      <c r="G5" s="343" t="s">
        <v>107</v>
      </c>
      <c r="H5" s="341" t="s">
        <v>108</v>
      </c>
      <c r="I5" s="574" t="s">
        <v>155</v>
      </c>
      <c r="J5" s="343" t="s">
        <v>107</v>
      </c>
      <c r="K5" s="341" t="s">
        <v>108</v>
      </c>
      <c r="L5" s="344" t="s">
        <v>155</v>
      </c>
      <c r="M5" s="343" t="s">
        <v>107</v>
      </c>
      <c r="N5" s="341" t="s">
        <v>108</v>
      </c>
      <c r="O5" s="344" t="s">
        <v>155</v>
      </c>
      <c r="P5" s="341" t="s">
        <v>107</v>
      </c>
      <c r="Q5" s="341" t="s">
        <v>108</v>
      </c>
      <c r="R5" s="342" t="s">
        <v>155</v>
      </c>
      <c r="S5" s="343" t="s">
        <v>107</v>
      </c>
      <c r="T5" s="341" t="s">
        <v>108</v>
      </c>
      <c r="U5" s="342" t="s">
        <v>155</v>
      </c>
      <c r="V5" s="343" t="s">
        <v>107</v>
      </c>
      <c r="W5" s="341" t="s">
        <v>108</v>
      </c>
      <c r="X5" s="342" t="s">
        <v>155</v>
      </c>
      <c r="Y5" s="343" t="s">
        <v>107</v>
      </c>
      <c r="Z5" s="341" t="s">
        <v>108</v>
      </c>
      <c r="AA5" s="344" t="s">
        <v>155</v>
      </c>
      <c r="AB5" s="345"/>
    </row>
    <row r="6" spans="1:28" ht="14.45" customHeight="1">
      <c r="A6" s="706" t="s">
        <v>156</v>
      </c>
      <c r="B6" s="709" t="s">
        <v>157</v>
      </c>
      <c r="C6" s="346" t="s">
        <v>110</v>
      </c>
      <c r="D6" s="347">
        <f>P6+S6+V6+Y6+G6+J6+M6</f>
        <v>7260709</v>
      </c>
      <c r="E6" s="348">
        <f>Q6+T6+W6+Z6+H6+K6+N6</f>
        <v>7260709</v>
      </c>
      <c r="F6" s="375">
        <f>R6+U6+X6+AA6+I6+L6+O6</f>
        <v>0</v>
      </c>
      <c r="G6" s="585">
        <v>1983920</v>
      </c>
      <c r="H6" s="586">
        <f>G6</f>
        <v>1983920</v>
      </c>
      <c r="I6" s="354">
        <f>H6-G6</f>
        <v>0</v>
      </c>
      <c r="J6" s="350">
        <v>2544577</v>
      </c>
      <c r="K6" s="353">
        <v>2544577</v>
      </c>
      <c r="L6" s="354">
        <f>K6-J6</f>
        <v>0</v>
      </c>
      <c r="M6" s="351"/>
      <c r="N6" s="353"/>
      <c r="O6" s="354">
        <f>N6-M6</f>
        <v>0</v>
      </c>
      <c r="P6" s="350">
        <v>585018</v>
      </c>
      <c r="Q6" s="351">
        <v>585018</v>
      </c>
      <c r="R6" s="352">
        <f>Q6-P6</f>
        <v>0</v>
      </c>
      <c r="S6" s="351">
        <v>1983920</v>
      </c>
      <c r="T6" s="351">
        <v>1983920</v>
      </c>
      <c r="U6" s="352">
        <f>T6-S6</f>
        <v>0</v>
      </c>
      <c r="V6" s="351">
        <v>24113</v>
      </c>
      <c r="W6" s="351">
        <v>24113</v>
      </c>
      <c r="X6" s="352">
        <f>W6-V6</f>
        <v>0</v>
      </c>
      <c r="Y6" s="351">
        <v>139161</v>
      </c>
      <c r="Z6" s="353">
        <v>139161</v>
      </c>
      <c r="AA6" s="352">
        <f>Y6-Z6</f>
        <v>0</v>
      </c>
      <c r="AB6" s="355">
        <v>0</v>
      </c>
    </row>
    <row r="7" spans="1:28" ht="15.95">
      <c r="A7" s="707"/>
      <c r="B7" s="710"/>
      <c r="C7" s="25" t="s">
        <v>111</v>
      </c>
      <c r="D7" s="356">
        <f t="shared" ref="D7:D13" si="0">P7+S7+V7+Y7+G7+J7+M7</f>
        <v>7260709</v>
      </c>
      <c r="E7" s="573">
        <f t="shared" ref="E7:E15" si="1">Q7+T7+W7+Z7+H7+K7+N7</f>
        <v>6682436.75</v>
      </c>
      <c r="F7" s="383">
        <f t="shared" ref="F7:F15" si="2">R7+U7+X7+AA7+I7+L7+O7</f>
        <v>-578272.25</v>
      </c>
      <c r="G7" s="587">
        <v>1983920</v>
      </c>
      <c r="H7" s="588">
        <f>H15+(((G15-H15)/100)*75)</f>
        <v>1884724</v>
      </c>
      <c r="I7" s="363">
        <f t="shared" ref="I7:I65" si="3">H7-G7</f>
        <v>-99196</v>
      </c>
      <c r="J7" s="359">
        <v>2544577</v>
      </c>
      <c r="K7" s="362">
        <f>K15+(((J15-K15)/100)*75)</f>
        <v>2065500.75</v>
      </c>
      <c r="L7" s="363">
        <f t="shared" ref="L7:L65" si="4">K7-J7</f>
        <v>-479076.25</v>
      </c>
      <c r="M7" s="360"/>
      <c r="N7" s="362"/>
      <c r="O7" s="363">
        <f t="shared" ref="O7:O65" si="5">N7-M7</f>
        <v>0</v>
      </c>
      <c r="P7" s="359">
        <v>585018</v>
      </c>
      <c r="Q7" s="360">
        <v>585018</v>
      </c>
      <c r="R7" s="361">
        <f t="shared" ref="R7:R25" si="6">Q7-P7</f>
        <v>0</v>
      </c>
      <c r="S7" s="360">
        <v>1983920</v>
      </c>
      <c r="T7" s="360">
        <v>1983920</v>
      </c>
      <c r="U7" s="361">
        <f t="shared" ref="U7:U25" si="7">T7-S7</f>
        <v>0</v>
      </c>
      <c r="V7" s="360">
        <v>24113</v>
      </c>
      <c r="W7" s="360">
        <v>24113</v>
      </c>
      <c r="X7" s="361">
        <f t="shared" ref="X7:X25" si="8">W7-V7</f>
        <v>0</v>
      </c>
      <c r="Y7" s="360">
        <v>139161</v>
      </c>
      <c r="Z7" s="362">
        <v>139161</v>
      </c>
      <c r="AA7" s="361">
        <f>Y7-Z7</f>
        <v>0</v>
      </c>
      <c r="AB7" s="355"/>
    </row>
    <row r="8" spans="1:28" ht="15.95">
      <c r="A8" s="707"/>
      <c r="B8" s="710"/>
      <c r="C8" s="25" t="s">
        <v>112</v>
      </c>
      <c r="D8" s="356">
        <f t="shared" si="0"/>
        <v>7260709</v>
      </c>
      <c r="E8" s="573">
        <f t="shared" si="1"/>
        <v>5525892.25</v>
      </c>
      <c r="F8" s="383">
        <f t="shared" si="2"/>
        <v>-1734816.75</v>
      </c>
      <c r="G8" s="587">
        <v>1983920</v>
      </c>
      <c r="H8" s="588">
        <f>H15+(((G15-H15)/100)*25)</f>
        <v>1686332</v>
      </c>
      <c r="I8" s="363">
        <f t="shared" si="3"/>
        <v>-297588</v>
      </c>
      <c r="J8" s="359">
        <v>2544577</v>
      </c>
      <c r="K8" s="362">
        <f>K15+(((J15-K15)/100)*25)</f>
        <v>1107348.25</v>
      </c>
      <c r="L8" s="363">
        <f t="shared" si="4"/>
        <v>-1437228.75</v>
      </c>
      <c r="M8" s="360"/>
      <c r="N8" s="362"/>
      <c r="O8" s="363">
        <f t="shared" si="5"/>
        <v>0</v>
      </c>
      <c r="P8" s="359">
        <v>585018</v>
      </c>
      <c r="Q8" s="360">
        <v>585018</v>
      </c>
      <c r="R8" s="361">
        <f t="shared" si="6"/>
        <v>0</v>
      </c>
      <c r="S8" s="360">
        <v>1983920</v>
      </c>
      <c r="T8" s="360">
        <v>1983920</v>
      </c>
      <c r="U8" s="361">
        <f t="shared" si="7"/>
        <v>0</v>
      </c>
      <c r="V8" s="360">
        <v>24113</v>
      </c>
      <c r="W8" s="360">
        <v>24113</v>
      </c>
      <c r="X8" s="361">
        <f t="shared" si="8"/>
        <v>0</v>
      </c>
      <c r="Y8" s="360">
        <v>139161</v>
      </c>
      <c r="Z8" s="362">
        <v>139161</v>
      </c>
      <c r="AA8" s="361">
        <f t="shared" ref="AA8:AA14" si="9">Y8-Z8</f>
        <v>0</v>
      </c>
      <c r="AB8" s="355"/>
    </row>
    <row r="9" spans="1:28" ht="15.95">
      <c r="A9" s="707"/>
      <c r="B9" s="710"/>
      <c r="C9" s="25" t="s">
        <v>113</v>
      </c>
      <c r="D9" s="356">
        <f t="shared" si="0"/>
        <v>7260709</v>
      </c>
      <c r="E9" s="573">
        <f t="shared" si="1"/>
        <v>4947620</v>
      </c>
      <c r="F9" s="383">
        <f t="shared" si="2"/>
        <v>-2313089</v>
      </c>
      <c r="G9" s="587">
        <v>1983920</v>
      </c>
      <c r="H9" s="588">
        <v>1587136</v>
      </c>
      <c r="I9" s="363">
        <f t="shared" si="3"/>
        <v>-396784</v>
      </c>
      <c r="J9" s="359">
        <v>2544577</v>
      </c>
      <c r="K9" s="362">
        <v>628272</v>
      </c>
      <c r="L9" s="363">
        <f t="shared" si="4"/>
        <v>-1916305</v>
      </c>
      <c r="M9" s="360"/>
      <c r="N9" s="362"/>
      <c r="O9" s="363">
        <f t="shared" si="5"/>
        <v>0</v>
      </c>
      <c r="P9" s="359">
        <v>585018</v>
      </c>
      <c r="Q9" s="360">
        <v>585018</v>
      </c>
      <c r="R9" s="361">
        <f t="shared" si="6"/>
        <v>0</v>
      </c>
      <c r="S9" s="360">
        <v>1983920</v>
      </c>
      <c r="T9" s="360">
        <v>1983920</v>
      </c>
      <c r="U9" s="361">
        <f t="shared" si="7"/>
        <v>0</v>
      </c>
      <c r="V9" s="360">
        <v>24113</v>
      </c>
      <c r="W9" s="360">
        <v>24113</v>
      </c>
      <c r="X9" s="361">
        <f t="shared" si="8"/>
        <v>0</v>
      </c>
      <c r="Y9" s="360">
        <v>139161</v>
      </c>
      <c r="Z9" s="362">
        <v>139161</v>
      </c>
      <c r="AA9" s="361">
        <f t="shared" si="9"/>
        <v>0</v>
      </c>
      <c r="AB9" s="355"/>
    </row>
    <row r="10" spans="1:28" ht="15.95">
      <c r="A10" s="707"/>
      <c r="B10" s="710"/>
      <c r="C10" s="25" t="s">
        <v>114</v>
      </c>
      <c r="D10" s="356">
        <f t="shared" si="0"/>
        <v>7260709</v>
      </c>
      <c r="E10" s="573">
        <f t="shared" si="1"/>
        <v>4947620</v>
      </c>
      <c r="F10" s="383">
        <f t="shared" si="2"/>
        <v>-2313089</v>
      </c>
      <c r="G10" s="587">
        <v>1983920</v>
      </c>
      <c r="H10" s="588">
        <v>1587136</v>
      </c>
      <c r="I10" s="363">
        <f t="shared" si="3"/>
        <v>-396784</v>
      </c>
      <c r="J10" s="359">
        <v>2544577</v>
      </c>
      <c r="K10" s="362">
        <v>628272</v>
      </c>
      <c r="L10" s="363">
        <f t="shared" si="4"/>
        <v>-1916305</v>
      </c>
      <c r="M10" s="360"/>
      <c r="N10" s="362"/>
      <c r="O10" s="363">
        <f t="shared" si="5"/>
        <v>0</v>
      </c>
      <c r="P10" s="359">
        <v>585018</v>
      </c>
      <c r="Q10" s="360">
        <v>585018</v>
      </c>
      <c r="R10" s="361">
        <f t="shared" si="6"/>
        <v>0</v>
      </c>
      <c r="S10" s="360">
        <v>1983920</v>
      </c>
      <c r="T10" s="360">
        <v>1983920</v>
      </c>
      <c r="U10" s="361">
        <f t="shared" si="7"/>
        <v>0</v>
      </c>
      <c r="V10" s="360">
        <v>24113</v>
      </c>
      <c r="W10" s="360">
        <v>24113</v>
      </c>
      <c r="X10" s="361">
        <f t="shared" si="8"/>
        <v>0</v>
      </c>
      <c r="Y10" s="360">
        <v>139161</v>
      </c>
      <c r="Z10" s="362">
        <v>139161</v>
      </c>
      <c r="AA10" s="361">
        <f t="shared" si="9"/>
        <v>0</v>
      </c>
      <c r="AB10" s="355"/>
    </row>
    <row r="11" spans="1:28" ht="15.95">
      <c r="A11" s="707"/>
      <c r="B11" s="710"/>
      <c r="C11" s="25" t="s">
        <v>115</v>
      </c>
      <c r="D11" s="356">
        <f t="shared" si="0"/>
        <v>7260709</v>
      </c>
      <c r="E11" s="573">
        <f t="shared" si="1"/>
        <v>4947620</v>
      </c>
      <c r="F11" s="383">
        <f t="shared" si="2"/>
        <v>-2313089</v>
      </c>
      <c r="G11" s="587">
        <v>1983920</v>
      </c>
      <c r="H11" s="588">
        <v>1587136</v>
      </c>
      <c r="I11" s="363">
        <f t="shared" si="3"/>
        <v>-396784</v>
      </c>
      <c r="J11" s="359">
        <v>2544577</v>
      </c>
      <c r="K11" s="362">
        <v>628272</v>
      </c>
      <c r="L11" s="363">
        <f t="shared" si="4"/>
        <v>-1916305</v>
      </c>
      <c r="M11" s="360"/>
      <c r="N11" s="362"/>
      <c r="O11" s="363">
        <f t="shared" si="5"/>
        <v>0</v>
      </c>
      <c r="P11" s="359">
        <v>585018</v>
      </c>
      <c r="Q11" s="360">
        <v>585018</v>
      </c>
      <c r="R11" s="361">
        <f t="shared" si="6"/>
        <v>0</v>
      </c>
      <c r="S11" s="360">
        <v>1983920</v>
      </c>
      <c r="T11" s="360">
        <v>1983920</v>
      </c>
      <c r="U11" s="361">
        <f t="shared" si="7"/>
        <v>0</v>
      </c>
      <c r="V11" s="360">
        <v>24113</v>
      </c>
      <c r="W11" s="360">
        <v>24113</v>
      </c>
      <c r="X11" s="361">
        <f t="shared" si="8"/>
        <v>0</v>
      </c>
      <c r="Y11" s="360">
        <v>139161</v>
      </c>
      <c r="Z11" s="362">
        <v>139161</v>
      </c>
      <c r="AA11" s="361">
        <f t="shared" si="9"/>
        <v>0</v>
      </c>
      <c r="AB11" s="355"/>
    </row>
    <row r="12" spans="1:28" ht="15.95">
      <c r="A12" s="707"/>
      <c r="B12" s="710"/>
      <c r="C12" s="25" t="s">
        <v>116</v>
      </c>
      <c r="D12" s="356">
        <f t="shared" si="0"/>
        <v>7260709</v>
      </c>
      <c r="E12" s="573">
        <f t="shared" si="1"/>
        <v>4947620</v>
      </c>
      <c r="F12" s="383">
        <f t="shared" si="2"/>
        <v>-2313089</v>
      </c>
      <c r="G12" s="587">
        <v>1983920</v>
      </c>
      <c r="H12" s="588">
        <v>1587136</v>
      </c>
      <c r="I12" s="363">
        <f t="shared" si="3"/>
        <v>-396784</v>
      </c>
      <c r="J12" s="359">
        <v>2544577</v>
      </c>
      <c r="K12" s="362">
        <v>628272</v>
      </c>
      <c r="L12" s="363">
        <f t="shared" si="4"/>
        <v>-1916305</v>
      </c>
      <c r="M12" s="360"/>
      <c r="N12" s="362"/>
      <c r="O12" s="363">
        <f t="shared" si="5"/>
        <v>0</v>
      </c>
      <c r="P12" s="359">
        <v>585018</v>
      </c>
      <c r="Q12" s="360">
        <v>585018</v>
      </c>
      <c r="R12" s="361">
        <f t="shared" si="6"/>
        <v>0</v>
      </c>
      <c r="S12" s="360">
        <v>1983920</v>
      </c>
      <c r="T12" s="360">
        <v>1983920</v>
      </c>
      <c r="U12" s="361">
        <f t="shared" si="7"/>
        <v>0</v>
      </c>
      <c r="V12" s="360">
        <v>24113</v>
      </c>
      <c r="W12" s="360">
        <v>24113</v>
      </c>
      <c r="X12" s="361">
        <f t="shared" si="8"/>
        <v>0</v>
      </c>
      <c r="Y12" s="360">
        <v>139161</v>
      </c>
      <c r="Z12" s="362">
        <v>139161</v>
      </c>
      <c r="AA12" s="361">
        <f t="shared" si="9"/>
        <v>0</v>
      </c>
      <c r="AB12" s="355"/>
    </row>
    <row r="13" spans="1:28" ht="15.95">
      <c r="A13" s="707"/>
      <c r="B13" s="710"/>
      <c r="C13" s="25" t="s">
        <v>117</v>
      </c>
      <c r="D13" s="356">
        <f t="shared" si="0"/>
        <v>7260709</v>
      </c>
      <c r="E13" s="573">
        <f t="shared" si="1"/>
        <v>4947620</v>
      </c>
      <c r="F13" s="383">
        <f t="shared" si="2"/>
        <v>-2313089</v>
      </c>
      <c r="G13" s="587">
        <v>1983920</v>
      </c>
      <c r="H13" s="588">
        <v>1587136</v>
      </c>
      <c r="I13" s="363">
        <f t="shared" si="3"/>
        <v>-396784</v>
      </c>
      <c r="J13" s="359">
        <v>2544577</v>
      </c>
      <c r="K13" s="362">
        <v>628272</v>
      </c>
      <c r="L13" s="363">
        <f t="shared" si="4"/>
        <v>-1916305</v>
      </c>
      <c r="M13" s="360"/>
      <c r="N13" s="362"/>
      <c r="O13" s="363">
        <f t="shared" si="5"/>
        <v>0</v>
      </c>
      <c r="P13" s="359">
        <v>585018</v>
      </c>
      <c r="Q13" s="360">
        <v>585018</v>
      </c>
      <c r="R13" s="361">
        <f t="shared" si="6"/>
        <v>0</v>
      </c>
      <c r="S13" s="360">
        <v>1983920</v>
      </c>
      <c r="T13" s="360">
        <v>1983920</v>
      </c>
      <c r="U13" s="361">
        <f t="shared" si="7"/>
        <v>0</v>
      </c>
      <c r="V13" s="360">
        <v>24113</v>
      </c>
      <c r="W13" s="360">
        <v>24113</v>
      </c>
      <c r="X13" s="361">
        <f t="shared" si="8"/>
        <v>0</v>
      </c>
      <c r="Y13" s="360">
        <v>139161</v>
      </c>
      <c r="Z13" s="362">
        <v>139161</v>
      </c>
      <c r="AA13" s="361">
        <f t="shared" si="9"/>
        <v>0</v>
      </c>
      <c r="AB13" s="355"/>
    </row>
    <row r="14" spans="1:28" ht="15.95">
      <c r="A14" s="707"/>
      <c r="B14" s="710"/>
      <c r="C14" s="25" t="s">
        <v>118</v>
      </c>
      <c r="D14" s="356">
        <f t="shared" ref="D14:D15" si="10">P14+S14+V14+Y14+G14+J14+M14</f>
        <v>7260709</v>
      </c>
      <c r="E14" s="573">
        <f t="shared" si="1"/>
        <v>4947620</v>
      </c>
      <c r="F14" s="383">
        <f t="shared" si="2"/>
        <v>-2313089</v>
      </c>
      <c r="G14" s="587">
        <v>1983920</v>
      </c>
      <c r="H14" s="588">
        <v>1587136</v>
      </c>
      <c r="I14" s="363">
        <f t="shared" si="3"/>
        <v>-396784</v>
      </c>
      <c r="J14" s="359">
        <v>2544577</v>
      </c>
      <c r="K14" s="362">
        <v>628272</v>
      </c>
      <c r="L14" s="363">
        <f t="shared" si="4"/>
        <v>-1916305</v>
      </c>
      <c r="M14" s="360"/>
      <c r="N14" s="362"/>
      <c r="O14" s="363">
        <f t="shared" si="5"/>
        <v>0</v>
      </c>
      <c r="P14" s="359">
        <v>585018</v>
      </c>
      <c r="Q14" s="360">
        <v>585018</v>
      </c>
      <c r="R14" s="361">
        <f t="shared" si="6"/>
        <v>0</v>
      </c>
      <c r="S14" s="360">
        <v>1983920</v>
      </c>
      <c r="T14" s="360">
        <v>1983920</v>
      </c>
      <c r="U14" s="361">
        <f t="shared" si="7"/>
        <v>0</v>
      </c>
      <c r="V14" s="360">
        <v>24113</v>
      </c>
      <c r="W14" s="360">
        <v>24113</v>
      </c>
      <c r="X14" s="361">
        <f t="shared" si="8"/>
        <v>0</v>
      </c>
      <c r="Y14" s="360">
        <v>139161</v>
      </c>
      <c r="Z14" s="362">
        <v>139161</v>
      </c>
      <c r="AA14" s="361">
        <f t="shared" si="9"/>
        <v>0</v>
      </c>
      <c r="AB14" s="355"/>
    </row>
    <row r="15" spans="1:28" ht="15.95">
      <c r="A15" s="708"/>
      <c r="B15" s="711"/>
      <c r="C15" s="364" t="s">
        <v>119</v>
      </c>
      <c r="D15" s="356">
        <f t="shared" si="10"/>
        <v>7260709</v>
      </c>
      <c r="E15" s="366">
        <f t="shared" si="1"/>
        <v>4947620</v>
      </c>
      <c r="F15" s="391">
        <f t="shared" si="2"/>
        <v>-2313089</v>
      </c>
      <c r="G15" s="589">
        <v>1983920</v>
      </c>
      <c r="H15" s="590">
        <v>1587136</v>
      </c>
      <c r="I15" s="372">
        <f t="shared" si="3"/>
        <v>-396784</v>
      </c>
      <c r="J15" s="368">
        <v>2544577</v>
      </c>
      <c r="K15" s="371">
        <v>628272</v>
      </c>
      <c r="L15" s="372">
        <f t="shared" si="4"/>
        <v>-1916305</v>
      </c>
      <c r="M15" s="369"/>
      <c r="N15" s="371"/>
      <c r="O15" s="372">
        <f t="shared" si="5"/>
        <v>0</v>
      </c>
      <c r="P15" s="368">
        <v>585018</v>
      </c>
      <c r="Q15" s="369">
        <v>585018</v>
      </c>
      <c r="R15" s="370">
        <f t="shared" si="6"/>
        <v>0</v>
      </c>
      <c r="S15" s="369">
        <v>1983920</v>
      </c>
      <c r="T15" s="369">
        <v>1983920</v>
      </c>
      <c r="U15" s="370">
        <f t="shared" si="7"/>
        <v>0</v>
      </c>
      <c r="V15" s="369">
        <v>24113</v>
      </c>
      <c r="W15" s="369">
        <v>24113</v>
      </c>
      <c r="X15" s="370">
        <f t="shared" si="8"/>
        <v>0</v>
      </c>
      <c r="Y15" s="369">
        <v>139161</v>
      </c>
      <c r="Z15" s="371">
        <v>139161</v>
      </c>
      <c r="AA15" s="370">
        <f>Y15-Z15</f>
        <v>0</v>
      </c>
      <c r="AB15" s="355"/>
    </row>
    <row r="16" spans="1:28" ht="15.95">
      <c r="A16" s="706" t="s">
        <v>158</v>
      </c>
      <c r="B16" s="709" t="s">
        <v>159</v>
      </c>
      <c r="C16" s="346" t="s">
        <v>110</v>
      </c>
      <c r="D16" s="373"/>
      <c r="E16" s="374"/>
      <c r="F16" s="375"/>
      <c r="G16" s="377">
        <v>1</v>
      </c>
      <c r="H16" s="379">
        <v>1</v>
      </c>
      <c r="I16" s="380">
        <f t="shared" si="3"/>
        <v>0</v>
      </c>
      <c r="J16" s="377"/>
      <c r="K16" s="379"/>
      <c r="L16" s="380">
        <f t="shared" si="4"/>
        <v>0</v>
      </c>
      <c r="M16" s="377"/>
      <c r="N16" s="379"/>
      <c r="O16" s="380">
        <f t="shared" si="5"/>
        <v>0</v>
      </c>
      <c r="P16" s="376"/>
      <c r="Q16" s="377"/>
      <c r="R16" s="378">
        <f t="shared" si="6"/>
        <v>0</v>
      </c>
      <c r="S16" s="377"/>
      <c r="T16" s="377"/>
      <c r="U16" s="378">
        <f t="shared" si="7"/>
        <v>0</v>
      </c>
      <c r="V16" s="377"/>
      <c r="W16" s="377"/>
      <c r="X16" s="378">
        <f t="shared" si="8"/>
        <v>0</v>
      </c>
      <c r="Y16" s="377"/>
      <c r="Z16" s="379"/>
      <c r="AA16" s="378">
        <f t="shared" ref="AA16:AA65" si="11">Y16-Z16</f>
        <v>0</v>
      </c>
      <c r="AB16" s="355">
        <v>0</v>
      </c>
    </row>
    <row r="17" spans="1:28" ht="15.95">
      <c r="A17" s="707"/>
      <c r="B17" s="710"/>
      <c r="C17" s="25" t="s">
        <v>111</v>
      </c>
      <c r="D17" s="381"/>
      <c r="E17" s="382"/>
      <c r="F17" s="383"/>
      <c r="G17" s="385">
        <v>1</v>
      </c>
      <c r="H17" s="387">
        <v>1</v>
      </c>
      <c r="I17" s="388">
        <f t="shared" si="3"/>
        <v>0</v>
      </c>
      <c r="J17" s="385"/>
      <c r="K17" s="387"/>
      <c r="L17" s="388">
        <f t="shared" si="4"/>
        <v>0</v>
      </c>
      <c r="M17" s="385"/>
      <c r="N17" s="387"/>
      <c r="O17" s="388">
        <f t="shared" si="5"/>
        <v>0</v>
      </c>
      <c r="P17" s="384"/>
      <c r="Q17" s="385"/>
      <c r="R17" s="386">
        <f t="shared" si="6"/>
        <v>0</v>
      </c>
      <c r="S17" s="385"/>
      <c r="T17" s="385"/>
      <c r="U17" s="386">
        <f t="shared" si="7"/>
        <v>0</v>
      </c>
      <c r="V17" s="385"/>
      <c r="W17" s="385"/>
      <c r="X17" s="386">
        <f t="shared" si="8"/>
        <v>0</v>
      </c>
      <c r="Y17" s="385"/>
      <c r="Z17" s="387"/>
      <c r="AA17" s="386">
        <f t="shared" si="11"/>
        <v>0</v>
      </c>
      <c r="AB17" s="355"/>
    </row>
    <row r="18" spans="1:28" ht="15.95">
      <c r="A18" s="707"/>
      <c r="B18" s="710"/>
      <c r="C18" s="25" t="s">
        <v>112</v>
      </c>
      <c r="D18" s="381"/>
      <c r="E18" s="382"/>
      <c r="F18" s="383"/>
      <c r="G18" s="385">
        <v>1</v>
      </c>
      <c r="H18" s="387">
        <v>1</v>
      </c>
      <c r="I18" s="388">
        <f t="shared" si="3"/>
        <v>0</v>
      </c>
      <c r="J18" s="385"/>
      <c r="K18" s="387"/>
      <c r="L18" s="388">
        <f t="shared" si="4"/>
        <v>0</v>
      </c>
      <c r="M18" s="385"/>
      <c r="N18" s="387"/>
      <c r="O18" s="388">
        <f t="shared" si="5"/>
        <v>0</v>
      </c>
      <c r="P18" s="384"/>
      <c r="Q18" s="385"/>
      <c r="R18" s="386">
        <f t="shared" si="6"/>
        <v>0</v>
      </c>
      <c r="S18" s="385"/>
      <c r="T18" s="385"/>
      <c r="U18" s="386">
        <f t="shared" si="7"/>
        <v>0</v>
      </c>
      <c r="V18" s="385"/>
      <c r="W18" s="385"/>
      <c r="X18" s="386">
        <f t="shared" si="8"/>
        <v>0</v>
      </c>
      <c r="Y18" s="385"/>
      <c r="Z18" s="387"/>
      <c r="AA18" s="386">
        <f t="shared" si="11"/>
        <v>0</v>
      </c>
      <c r="AB18" s="355"/>
    </row>
    <row r="19" spans="1:28" ht="15.95">
      <c r="A19" s="707"/>
      <c r="B19" s="710"/>
      <c r="C19" s="25" t="s">
        <v>113</v>
      </c>
      <c r="D19" s="381"/>
      <c r="E19" s="382"/>
      <c r="F19" s="383"/>
      <c r="G19" s="385">
        <v>1</v>
      </c>
      <c r="H19" s="387">
        <v>1</v>
      </c>
      <c r="I19" s="388">
        <f t="shared" si="3"/>
        <v>0</v>
      </c>
      <c r="J19" s="385"/>
      <c r="K19" s="387"/>
      <c r="L19" s="388">
        <f t="shared" si="4"/>
        <v>0</v>
      </c>
      <c r="M19" s="385"/>
      <c r="N19" s="387"/>
      <c r="O19" s="388">
        <f t="shared" si="5"/>
        <v>0</v>
      </c>
      <c r="P19" s="384"/>
      <c r="Q19" s="385"/>
      <c r="R19" s="386">
        <f t="shared" si="6"/>
        <v>0</v>
      </c>
      <c r="S19" s="385"/>
      <c r="T19" s="385"/>
      <c r="U19" s="386">
        <f t="shared" si="7"/>
        <v>0</v>
      </c>
      <c r="V19" s="385"/>
      <c r="W19" s="385"/>
      <c r="X19" s="386">
        <f t="shared" si="8"/>
        <v>0</v>
      </c>
      <c r="Y19" s="385"/>
      <c r="Z19" s="387"/>
      <c r="AA19" s="386">
        <f t="shared" si="11"/>
        <v>0</v>
      </c>
      <c r="AB19" s="355"/>
    </row>
    <row r="20" spans="1:28" ht="15.95">
      <c r="A20" s="707"/>
      <c r="B20" s="710"/>
      <c r="C20" s="25" t="s">
        <v>114</v>
      </c>
      <c r="D20" s="381"/>
      <c r="E20" s="382"/>
      <c r="F20" s="383"/>
      <c r="G20" s="385">
        <v>1</v>
      </c>
      <c r="H20" s="387">
        <v>1</v>
      </c>
      <c r="I20" s="388">
        <f t="shared" si="3"/>
        <v>0</v>
      </c>
      <c r="J20" s="385"/>
      <c r="K20" s="387"/>
      <c r="L20" s="388">
        <f t="shared" si="4"/>
        <v>0</v>
      </c>
      <c r="M20" s="385"/>
      <c r="N20" s="387"/>
      <c r="O20" s="388">
        <f t="shared" si="5"/>
        <v>0</v>
      </c>
      <c r="P20" s="384"/>
      <c r="Q20" s="385"/>
      <c r="R20" s="386">
        <f t="shared" si="6"/>
        <v>0</v>
      </c>
      <c r="S20" s="385"/>
      <c r="T20" s="385"/>
      <c r="U20" s="386">
        <f t="shared" si="7"/>
        <v>0</v>
      </c>
      <c r="V20" s="385"/>
      <c r="W20" s="385"/>
      <c r="X20" s="386">
        <f t="shared" si="8"/>
        <v>0</v>
      </c>
      <c r="Y20" s="385"/>
      <c r="Z20" s="387"/>
      <c r="AA20" s="386">
        <f t="shared" si="11"/>
        <v>0</v>
      </c>
      <c r="AB20" s="355"/>
    </row>
    <row r="21" spans="1:28" ht="15.95">
      <c r="A21" s="707"/>
      <c r="B21" s="710"/>
      <c r="C21" s="25" t="s">
        <v>115</v>
      </c>
      <c r="D21" s="381"/>
      <c r="E21" s="382"/>
      <c r="F21" s="383"/>
      <c r="G21" s="385">
        <v>1</v>
      </c>
      <c r="H21" s="387">
        <v>1</v>
      </c>
      <c r="I21" s="388">
        <f t="shared" si="3"/>
        <v>0</v>
      </c>
      <c r="J21" s="385"/>
      <c r="K21" s="387"/>
      <c r="L21" s="388">
        <f t="shared" si="4"/>
        <v>0</v>
      </c>
      <c r="M21" s="385"/>
      <c r="N21" s="387"/>
      <c r="O21" s="388">
        <f t="shared" si="5"/>
        <v>0</v>
      </c>
      <c r="P21" s="384"/>
      <c r="Q21" s="385"/>
      <c r="R21" s="386">
        <f t="shared" si="6"/>
        <v>0</v>
      </c>
      <c r="S21" s="385"/>
      <c r="T21" s="385"/>
      <c r="U21" s="386">
        <f t="shared" si="7"/>
        <v>0</v>
      </c>
      <c r="V21" s="385"/>
      <c r="W21" s="385"/>
      <c r="X21" s="386">
        <f t="shared" si="8"/>
        <v>0</v>
      </c>
      <c r="Y21" s="385"/>
      <c r="Z21" s="387"/>
      <c r="AA21" s="386">
        <f t="shared" si="11"/>
        <v>0</v>
      </c>
      <c r="AB21" s="355"/>
    </row>
    <row r="22" spans="1:28" ht="15.95">
      <c r="A22" s="707"/>
      <c r="B22" s="710"/>
      <c r="C22" s="25" t="s">
        <v>116</v>
      </c>
      <c r="D22" s="381"/>
      <c r="E22" s="382"/>
      <c r="F22" s="383"/>
      <c r="G22" s="385">
        <v>1</v>
      </c>
      <c r="H22" s="387">
        <v>1</v>
      </c>
      <c r="I22" s="388">
        <f t="shared" si="3"/>
        <v>0</v>
      </c>
      <c r="J22" s="385"/>
      <c r="K22" s="387"/>
      <c r="L22" s="388">
        <f t="shared" si="4"/>
        <v>0</v>
      </c>
      <c r="M22" s="385"/>
      <c r="N22" s="387"/>
      <c r="O22" s="388">
        <f t="shared" si="5"/>
        <v>0</v>
      </c>
      <c r="P22" s="384"/>
      <c r="Q22" s="385"/>
      <c r="R22" s="386">
        <f t="shared" si="6"/>
        <v>0</v>
      </c>
      <c r="S22" s="385"/>
      <c r="T22" s="385"/>
      <c r="U22" s="386">
        <f t="shared" si="7"/>
        <v>0</v>
      </c>
      <c r="V22" s="385"/>
      <c r="W22" s="385"/>
      <c r="X22" s="386">
        <f t="shared" si="8"/>
        <v>0</v>
      </c>
      <c r="Y22" s="385"/>
      <c r="Z22" s="387"/>
      <c r="AA22" s="386">
        <f t="shared" si="11"/>
        <v>0</v>
      </c>
      <c r="AB22" s="355"/>
    </row>
    <row r="23" spans="1:28" ht="15.95">
      <c r="A23" s="707"/>
      <c r="B23" s="710"/>
      <c r="C23" s="25" t="s">
        <v>117</v>
      </c>
      <c r="D23" s="381"/>
      <c r="E23" s="382"/>
      <c r="F23" s="383"/>
      <c r="G23" s="385">
        <v>1</v>
      </c>
      <c r="H23" s="387">
        <v>1</v>
      </c>
      <c r="I23" s="388">
        <f t="shared" si="3"/>
        <v>0</v>
      </c>
      <c r="J23" s="385"/>
      <c r="K23" s="387"/>
      <c r="L23" s="388">
        <f t="shared" si="4"/>
        <v>0</v>
      </c>
      <c r="M23" s="385"/>
      <c r="N23" s="387"/>
      <c r="O23" s="388">
        <f t="shared" si="5"/>
        <v>0</v>
      </c>
      <c r="P23" s="384"/>
      <c r="Q23" s="385"/>
      <c r="R23" s="386">
        <f t="shared" si="6"/>
        <v>0</v>
      </c>
      <c r="S23" s="385"/>
      <c r="T23" s="385"/>
      <c r="U23" s="386">
        <f t="shared" si="7"/>
        <v>0</v>
      </c>
      <c r="V23" s="385"/>
      <c r="W23" s="385"/>
      <c r="X23" s="386">
        <f t="shared" si="8"/>
        <v>0</v>
      </c>
      <c r="Y23" s="385"/>
      <c r="Z23" s="387"/>
      <c r="AA23" s="386">
        <f t="shared" si="11"/>
        <v>0</v>
      </c>
      <c r="AB23" s="355"/>
    </row>
    <row r="24" spans="1:28" ht="15.95">
      <c r="A24" s="707"/>
      <c r="B24" s="710"/>
      <c r="C24" s="25" t="s">
        <v>118</v>
      </c>
      <c r="D24" s="381"/>
      <c r="E24" s="382"/>
      <c r="F24" s="383"/>
      <c r="G24" s="385">
        <v>1</v>
      </c>
      <c r="H24" s="387">
        <v>1</v>
      </c>
      <c r="I24" s="388">
        <f t="shared" si="3"/>
        <v>0</v>
      </c>
      <c r="J24" s="385"/>
      <c r="K24" s="387"/>
      <c r="L24" s="388">
        <f t="shared" si="4"/>
        <v>0</v>
      </c>
      <c r="M24" s="385"/>
      <c r="N24" s="387"/>
      <c r="O24" s="388">
        <f t="shared" si="5"/>
        <v>0</v>
      </c>
      <c r="P24" s="384"/>
      <c r="Q24" s="385"/>
      <c r="R24" s="386">
        <f t="shared" si="6"/>
        <v>0</v>
      </c>
      <c r="S24" s="385"/>
      <c r="T24" s="385"/>
      <c r="U24" s="386">
        <f t="shared" si="7"/>
        <v>0</v>
      </c>
      <c r="V24" s="385"/>
      <c r="W24" s="385"/>
      <c r="X24" s="386">
        <f t="shared" si="8"/>
        <v>0</v>
      </c>
      <c r="Y24" s="385"/>
      <c r="Z24" s="387"/>
      <c r="AA24" s="386">
        <f t="shared" si="11"/>
        <v>0</v>
      </c>
      <c r="AB24" s="355"/>
    </row>
    <row r="25" spans="1:28" ht="15.95">
      <c r="A25" s="708"/>
      <c r="B25" s="711"/>
      <c r="C25" s="364" t="s">
        <v>119</v>
      </c>
      <c r="D25" s="389"/>
      <c r="E25" s="390"/>
      <c r="F25" s="391"/>
      <c r="G25" s="393">
        <v>1</v>
      </c>
      <c r="H25" s="395">
        <v>1</v>
      </c>
      <c r="I25" s="396">
        <f t="shared" si="3"/>
        <v>0</v>
      </c>
      <c r="J25" s="393"/>
      <c r="K25" s="395"/>
      <c r="L25" s="396">
        <f t="shared" si="4"/>
        <v>0</v>
      </c>
      <c r="M25" s="393"/>
      <c r="N25" s="395"/>
      <c r="O25" s="396">
        <f t="shared" si="5"/>
        <v>0</v>
      </c>
      <c r="P25" s="392"/>
      <c r="Q25" s="393"/>
      <c r="R25" s="394">
        <f t="shared" si="6"/>
        <v>0</v>
      </c>
      <c r="S25" s="393"/>
      <c r="T25" s="393"/>
      <c r="U25" s="394">
        <f t="shared" si="7"/>
        <v>0</v>
      </c>
      <c r="V25" s="393"/>
      <c r="W25" s="393"/>
      <c r="X25" s="394">
        <f t="shared" si="8"/>
        <v>0</v>
      </c>
      <c r="Y25" s="393"/>
      <c r="Z25" s="395"/>
      <c r="AA25" s="394">
        <f t="shared" si="11"/>
        <v>0</v>
      </c>
      <c r="AB25" s="355"/>
    </row>
    <row r="26" spans="1:28" s="398" customFormat="1" ht="14.25" customHeight="1">
      <c r="A26" s="706" t="s">
        <v>160</v>
      </c>
      <c r="B26" s="709" t="s">
        <v>159</v>
      </c>
      <c r="C26" s="346" t="s">
        <v>110</v>
      </c>
      <c r="D26" s="373"/>
      <c r="E26" s="374"/>
      <c r="F26" s="375"/>
      <c r="G26" s="377"/>
      <c r="H26" s="379"/>
      <c r="I26" s="380">
        <f t="shared" si="3"/>
        <v>0</v>
      </c>
      <c r="J26" s="377"/>
      <c r="K26" s="379"/>
      <c r="L26" s="380">
        <f t="shared" si="4"/>
        <v>0</v>
      </c>
      <c r="M26" s="377"/>
      <c r="N26" s="379"/>
      <c r="O26" s="380">
        <f t="shared" si="5"/>
        <v>0</v>
      </c>
      <c r="P26" s="376"/>
      <c r="Q26" s="377"/>
      <c r="R26" s="378">
        <f>Q26-P26</f>
        <v>0</v>
      </c>
      <c r="S26" s="377"/>
      <c r="T26" s="377"/>
      <c r="U26" s="378">
        <f>T26-S26</f>
        <v>0</v>
      </c>
      <c r="V26" s="377"/>
      <c r="W26" s="377"/>
      <c r="X26" s="378">
        <f>W26-V26</f>
        <v>0</v>
      </c>
      <c r="Y26" s="377"/>
      <c r="Z26" s="379"/>
      <c r="AA26" s="378">
        <f t="shared" si="11"/>
        <v>0</v>
      </c>
      <c r="AB26" s="397">
        <v>0</v>
      </c>
    </row>
    <row r="27" spans="1:28" ht="15.95">
      <c r="A27" s="707"/>
      <c r="B27" s="710"/>
      <c r="C27" s="25" t="s">
        <v>111</v>
      </c>
      <c r="D27" s="381"/>
      <c r="E27" s="382"/>
      <c r="F27" s="383"/>
      <c r="G27" s="385"/>
      <c r="H27" s="387"/>
      <c r="I27" s="388">
        <f t="shared" si="3"/>
        <v>0</v>
      </c>
      <c r="J27" s="385"/>
      <c r="K27" s="387"/>
      <c r="L27" s="388">
        <f t="shared" si="4"/>
        <v>0</v>
      </c>
      <c r="M27" s="385"/>
      <c r="N27" s="387"/>
      <c r="O27" s="388">
        <f t="shared" si="5"/>
        <v>0</v>
      </c>
      <c r="P27" s="384"/>
      <c r="Q27" s="385"/>
      <c r="R27" s="386">
        <f t="shared" ref="R27:R44" si="12">Q27-P27</f>
        <v>0</v>
      </c>
      <c r="S27" s="385"/>
      <c r="T27" s="385"/>
      <c r="U27" s="386">
        <f t="shared" ref="U27:U44" si="13">T27-S27</f>
        <v>0</v>
      </c>
      <c r="V27" s="385"/>
      <c r="W27" s="385"/>
      <c r="X27" s="386">
        <f t="shared" ref="X27:X44" si="14">W27-V27</f>
        <v>0</v>
      </c>
      <c r="Y27" s="385"/>
      <c r="Z27" s="387"/>
      <c r="AA27" s="386">
        <f t="shared" si="11"/>
        <v>0</v>
      </c>
    </row>
    <row r="28" spans="1:28" ht="15.95">
      <c r="A28" s="707"/>
      <c r="B28" s="710"/>
      <c r="C28" s="25" t="s">
        <v>112</v>
      </c>
      <c r="D28" s="381"/>
      <c r="E28" s="382"/>
      <c r="F28" s="383"/>
      <c r="G28" s="385"/>
      <c r="H28" s="387"/>
      <c r="I28" s="388">
        <f t="shared" si="3"/>
        <v>0</v>
      </c>
      <c r="J28" s="385"/>
      <c r="K28" s="387"/>
      <c r="L28" s="388">
        <f t="shared" si="4"/>
        <v>0</v>
      </c>
      <c r="M28" s="385"/>
      <c r="N28" s="387"/>
      <c r="O28" s="388">
        <f t="shared" si="5"/>
        <v>0</v>
      </c>
      <c r="P28" s="384"/>
      <c r="Q28" s="385"/>
      <c r="R28" s="386">
        <f t="shared" si="12"/>
        <v>0</v>
      </c>
      <c r="S28" s="385"/>
      <c r="T28" s="385"/>
      <c r="U28" s="386">
        <f t="shared" si="13"/>
        <v>0</v>
      </c>
      <c r="V28" s="385"/>
      <c r="W28" s="385"/>
      <c r="X28" s="386">
        <f t="shared" si="14"/>
        <v>0</v>
      </c>
      <c r="Y28" s="385"/>
      <c r="Z28" s="387"/>
      <c r="AA28" s="386">
        <f t="shared" si="11"/>
        <v>0</v>
      </c>
    </row>
    <row r="29" spans="1:28" ht="15.95">
      <c r="A29" s="707"/>
      <c r="B29" s="710"/>
      <c r="C29" s="25" t="s">
        <v>113</v>
      </c>
      <c r="D29" s="381"/>
      <c r="E29" s="382"/>
      <c r="F29" s="383"/>
      <c r="G29" s="385"/>
      <c r="H29" s="387"/>
      <c r="I29" s="388">
        <f t="shared" si="3"/>
        <v>0</v>
      </c>
      <c r="J29" s="385"/>
      <c r="K29" s="387"/>
      <c r="L29" s="388">
        <f t="shared" si="4"/>
        <v>0</v>
      </c>
      <c r="M29" s="385"/>
      <c r="N29" s="387"/>
      <c r="O29" s="388">
        <f t="shared" si="5"/>
        <v>0</v>
      </c>
      <c r="P29" s="384"/>
      <c r="Q29" s="385"/>
      <c r="R29" s="386">
        <f t="shared" si="12"/>
        <v>0</v>
      </c>
      <c r="S29" s="385"/>
      <c r="T29" s="385"/>
      <c r="U29" s="386">
        <f t="shared" si="13"/>
        <v>0</v>
      </c>
      <c r="V29" s="385"/>
      <c r="W29" s="385"/>
      <c r="X29" s="386">
        <f t="shared" si="14"/>
        <v>0</v>
      </c>
      <c r="Y29" s="385"/>
      <c r="Z29" s="387"/>
      <c r="AA29" s="386">
        <f t="shared" si="11"/>
        <v>0</v>
      </c>
    </row>
    <row r="30" spans="1:28" ht="15.95">
      <c r="A30" s="707"/>
      <c r="B30" s="710"/>
      <c r="C30" s="25" t="s">
        <v>114</v>
      </c>
      <c r="D30" s="381"/>
      <c r="E30" s="382"/>
      <c r="F30" s="383"/>
      <c r="G30" s="385"/>
      <c r="H30" s="387"/>
      <c r="I30" s="388">
        <f t="shared" si="3"/>
        <v>0</v>
      </c>
      <c r="J30" s="385"/>
      <c r="K30" s="387"/>
      <c r="L30" s="388">
        <f t="shared" si="4"/>
        <v>0</v>
      </c>
      <c r="M30" s="385"/>
      <c r="N30" s="387"/>
      <c r="O30" s="388">
        <f t="shared" si="5"/>
        <v>0</v>
      </c>
      <c r="P30" s="384"/>
      <c r="Q30" s="385"/>
      <c r="R30" s="386">
        <f t="shared" si="12"/>
        <v>0</v>
      </c>
      <c r="S30" s="385"/>
      <c r="T30" s="385"/>
      <c r="U30" s="386">
        <f t="shared" si="13"/>
        <v>0</v>
      </c>
      <c r="V30" s="385"/>
      <c r="W30" s="385"/>
      <c r="X30" s="386">
        <f t="shared" si="14"/>
        <v>0</v>
      </c>
      <c r="Y30" s="385"/>
      <c r="Z30" s="387"/>
      <c r="AA30" s="386">
        <f t="shared" si="11"/>
        <v>0</v>
      </c>
    </row>
    <row r="31" spans="1:28" ht="15.95">
      <c r="A31" s="707"/>
      <c r="B31" s="710"/>
      <c r="C31" s="25" t="s">
        <v>115</v>
      </c>
      <c r="D31" s="381"/>
      <c r="E31" s="382"/>
      <c r="F31" s="383"/>
      <c r="G31" s="385"/>
      <c r="H31" s="387"/>
      <c r="I31" s="388">
        <f t="shared" si="3"/>
        <v>0</v>
      </c>
      <c r="J31" s="385"/>
      <c r="K31" s="387"/>
      <c r="L31" s="388">
        <f t="shared" si="4"/>
        <v>0</v>
      </c>
      <c r="M31" s="385"/>
      <c r="N31" s="387"/>
      <c r="O31" s="388">
        <f t="shared" si="5"/>
        <v>0</v>
      </c>
      <c r="P31" s="384"/>
      <c r="Q31" s="385"/>
      <c r="R31" s="386">
        <f t="shared" si="12"/>
        <v>0</v>
      </c>
      <c r="S31" s="385"/>
      <c r="T31" s="385"/>
      <c r="U31" s="386">
        <f t="shared" si="13"/>
        <v>0</v>
      </c>
      <c r="V31" s="385"/>
      <c r="W31" s="385"/>
      <c r="X31" s="386">
        <f t="shared" si="14"/>
        <v>0</v>
      </c>
      <c r="Y31" s="385"/>
      <c r="Z31" s="387"/>
      <c r="AA31" s="386">
        <f t="shared" si="11"/>
        <v>0</v>
      </c>
    </row>
    <row r="32" spans="1:28" ht="15.95">
      <c r="A32" s="707"/>
      <c r="B32" s="710"/>
      <c r="C32" s="25" t="s">
        <v>116</v>
      </c>
      <c r="D32" s="381"/>
      <c r="E32" s="382"/>
      <c r="F32" s="383"/>
      <c r="G32" s="385"/>
      <c r="H32" s="387"/>
      <c r="I32" s="388">
        <f t="shared" si="3"/>
        <v>0</v>
      </c>
      <c r="J32" s="385"/>
      <c r="K32" s="387"/>
      <c r="L32" s="388">
        <f t="shared" si="4"/>
        <v>0</v>
      </c>
      <c r="M32" s="385"/>
      <c r="N32" s="387"/>
      <c r="O32" s="388">
        <f t="shared" si="5"/>
        <v>0</v>
      </c>
      <c r="P32" s="384"/>
      <c r="Q32" s="385"/>
      <c r="R32" s="386">
        <f t="shared" si="12"/>
        <v>0</v>
      </c>
      <c r="S32" s="385"/>
      <c r="T32" s="385"/>
      <c r="U32" s="386">
        <f t="shared" si="13"/>
        <v>0</v>
      </c>
      <c r="V32" s="385"/>
      <c r="W32" s="385"/>
      <c r="X32" s="386">
        <f t="shared" si="14"/>
        <v>0</v>
      </c>
      <c r="Y32" s="385"/>
      <c r="Z32" s="387"/>
      <c r="AA32" s="386">
        <f t="shared" si="11"/>
        <v>0</v>
      </c>
    </row>
    <row r="33" spans="1:28" ht="15.95">
      <c r="A33" s="707"/>
      <c r="B33" s="710"/>
      <c r="C33" s="25" t="s">
        <v>117</v>
      </c>
      <c r="D33" s="381"/>
      <c r="E33" s="382"/>
      <c r="F33" s="383"/>
      <c r="G33" s="385"/>
      <c r="H33" s="387"/>
      <c r="I33" s="388">
        <f t="shared" si="3"/>
        <v>0</v>
      </c>
      <c r="J33" s="385"/>
      <c r="K33" s="387"/>
      <c r="L33" s="388">
        <f t="shared" si="4"/>
        <v>0</v>
      </c>
      <c r="M33" s="385"/>
      <c r="N33" s="387"/>
      <c r="O33" s="388">
        <f t="shared" si="5"/>
        <v>0</v>
      </c>
      <c r="P33" s="384"/>
      <c r="Q33" s="385"/>
      <c r="R33" s="386">
        <f t="shared" si="12"/>
        <v>0</v>
      </c>
      <c r="S33" s="385"/>
      <c r="T33" s="385"/>
      <c r="U33" s="386">
        <f t="shared" si="13"/>
        <v>0</v>
      </c>
      <c r="V33" s="385"/>
      <c r="W33" s="385"/>
      <c r="X33" s="386">
        <f t="shared" si="14"/>
        <v>0</v>
      </c>
      <c r="Y33" s="385"/>
      <c r="Z33" s="387"/>
      <c r="AA33" s="386">
        <f t="shared" si="11"/>
        <v>0</v>
      </c>
    </row>
    <row r="34" spans="1:28" ht="15.95">
      <c r="A34" s="707"/>
      <c r="B34" s="710"/>
      <c r="C34" s="25" t="s">
        <v>118</v>
      </c>
      <c r="D34" s="381"/>
      <c r="E34" s="382"/>
      <c r="F34" s="383"/>
      <c r="G34" s="385"/>
      <c r="H34" s="387"/>
      <c r="I34" s="388">
        <f t="shared" si="3"/>
        <v>0</v>
      </c>
      <c r="J34" s="385"/>
      <c r="K34" s="387"/>
      <c r="L34" s="388">
        <f t="shared" si="4"/>
        <v>0</v>
      </c>
      <c r="M34" s="385"/>
      <c r="N34" s="387"/>
      <c r="O34" s="388">
        <f t="shared" si="5"/>
        <v>0</v>
      </c>
      <c r="P34" s="384"/>
      <c r="Q34" s="385"/>
      <c r="R34" s="386">
        <f t="shared" si="12"/>
        <v>0</v>
      </c>
      <c r="S34" s="385"/>
      <c r="T34" s="385"/>
      <c r="U34" s="386">
        <f t="shared" si="13"/>
        <v>0</v>
      </c>
      <c r="V34" s="385"/>
      <c r="W34" s="385"/>
      <c r="X34" s="386">
        <f t="shared" si="14"/>
        <v>0</v>
      </c>
      <c r="Y34" s="385"/>
      <c r="Z34" s="387"/>
      <c r="AA34" s="386">
        <f t="shared" si="11"/>
        <v>0</v>
      </c>
    </row>
    <row r="35" spans="1:28" ht="15.95">
      <c r="A35" s="708"/>
      <c r="B35" s="711"/>
      <c r="C35" s="364" t="s">
        <v>119</v>
      </c>
      <c r="D35" s="389"/>
      <c r="E35" s="390"/>
      <c r="F35" s="391"/>
      <c r="G35" s="393"/>
      <c r="H35" s="395"/>
      <c r="I35" s="396">
        <f t="shared" si="3"/>
        <v>0</v>
      </c>
      <c r="J35" s="393"/>
      <c r="K35" s="395"/>
      <c r="L35" s="396">
        <f t="shared" si="4"/>
        <v>0</v>
      </c>
      <c r="M35" s="393"/>
      <c r="N35" s="395"/>
      <c r="O35" s="396">
        <f t="shared" si="5"/>
        <v>0</v>
      </c>
      <c r="P35" s="392"/>
      <c r="Q35" s="393"/>
      <c r="R35" s="394">
        <f t="shared" si="12"/>
        <v>0</v>
      </c>
      <c r="S35" s="393"/>
      <c r="T35" s="393"/>
      <c r="U35" s="394">
        <f t="shared" si="13"/>
        <v>0</v>
      </c>
      <c r="V35" s="393"/>
      <c r="W35" s="393"/>
      <c r="X35" s="394">
        <f t="shared" si="14"/>
        <v>0</v>
      </c>
      <c r="Y35" s="393"/>
      <c r="Z35" s="395"/>
      <c r="AA35" s="394">
        <f t="shared" si="11"/>
        <v>0</v>
      </c>
    </row>
    <row r="36" spans="1:28" s="398" customFormat="1" ht="14.45" customHeight="1">
      <c r="A36" s="706" t="s">
        <v>161</v>
      </c>
      <c r="B36" s="709" t="s">
        <v>162</v>
      </c>
      <c r="C36" s="346" t="s">
        <v>110</v>
      </c>
      <c r="D36" s="373"/>
      <c r="E36" s="374"/>
      <c r="F36" s="375"/>
      <c r="G36" s="579">
        <v>0.08</v>
      </c>
      <c r="H36" s="580">
        <v>0.08</v>
      </c>
      <c r="I36" s="380">
        <f t="shared" si="3"/>
        <v>0</v>
      </c>
      <c r="J36" s="377">
        <v>0.04</v>
      </c>
      <c r="K36" s="379">
        <v>0.04</v>
      </c>
      <c r="L36" s="380">
        <f t="shared" si="4"/>
        <v>0</v>
      </c>
      <c r="M36" s="377"/>
      <c r="N36" s="379"/>
      <c r="O36" s="380">
        <f t="shared" si="5"/>
        <v>0</v>
      </c>
      <c r="P36" s="376">
        <v>0.24399999999999999</v>
      </c>
      <c r="Q36" s="579">
        <v>0.24399999999999999</v>
      </c>
      <c r="R36" s="378">
        <f t="shared" si="12"/>
        <v>0</v>
      </c>
      <c r="S36" s="385">
        <v>0.05</v>
      </c>
      <c r="T36" s="581">
        <v>0.05</v>
      </c>
      <c r="U36" s="378">
        <f t="shared" si="13"/>
        <v>0</v>
      </c>
      <c r="V36" s="377">
        <v>0.33</v>
      </c>
      <c r="W36" s="377">
        <v>0.33</v>
      </c>
      <c r="X36" s="378">
        <f t="shared" si="14"/>
        <v>0</v>
      </c>
      <c r="Y36" s="377">
        <v>0.25</v>
      </c>
      <c r="Z36" s="580">
        <v>0.25</v>
      </c>
      <c r="AA36" s="378">
        <f t="shared" si="11"/>
        <v>0</v>
      </c>
      <c r="AB36" s="397">
        <f>'Analyza citlivosti - AgendovéIS'!N7</f>
        <v>0</v>
      </c>
    </row>
    <row r="37" spans="1:28" ht="15.95">
      <c r="A37" s="707"/>
      <c r="B37" s="710"/>
      <c r="C37" s="25" t="s">
        <v>111</v>
      </c>
      <c r="D37" s="381"/>
      <c r="E37" s="382"/>
      <c r="F37" s="383"/>
      <c r="G37" s="581">
        <v>0.08</v>
      </c>
      <c r="H37" s="582">
        <v>0.08</v>
      </c>
      <c r="I37" s="388">
        <f t="shared" si="3"/>
        <v>0</v>
      </c>
      <c r="J37" s="385">
        <v>0.04</v>
      </c>
      <c r="K37" s="387">
        <v>0.04</v>
      </c>
      <c r="L37" s="388">
        <f t="shared" si="4"/>
        <v>0</v>
      </c>
      <c r="M37" s="385"/>
      <c r="N37" s="387"/>
      <c r="O37" s="388">
        <f t="shared" si="5"/>
        <v>0</v>
      </c>
      <c r="P37" s="384">
        <v>0.24</v>
      </c>
      <c r="Q37" s="581">
        <v>0.24399999999999999</v>
      </c>
      <c r="R37" s="386">
        <f t="shared" si="12"/>
        <v>4.0000000000000036E-3</v>
      </c>
      <c r="S37" s="385">
        <v>0.05</v>
      </c>
      <c r="T37" s="581">
        <f>T45+(((S45-T45)/100)*75)</f>
        <v>3.7499999999999999E-2</v>
      </c>
      <c r="U37" s="386">
        <f t="shared" si="13"/>
        <v>-1.2500000000000004E-2</v>
      </c>
      <c r="V37" s="385">
        <v>0.33</v>
      </c>
      <c r="W37" s="385">
        <f>W45+(((V45-W45)/100)*50)</f>
        <v>0.19</v>
      </c>
      <c r="X37" s="386">
        <f t="shared" si="14"/>
        <v>-0.14000000000000001</v>
      </c>
      <c r="Y37" s="385">
        <v>0.25</v>
      </c>
      <c r="Z37" s="582">
        <f>(Y37/100)*75</f>
        <v>0.1875</v>
      </c>
      <c r="AA37" s="386">
        <f t="shared" si="11"/>
        <v>6.25E-2</v>
      </c>
    </row>
    <row r="38" spans="1:28" ht="15.95">
      <c r="A38" s="707"/>
      <c r="B38" s="710"/>
      <c r="C38" s="25" t="s">
        <v>112</v>
      </c>
      <c r="D38" s="381"/>
      <c r="E38" s="382"/>
      <c r="F38" s="383"/>
      <c r="G38" s="581">
        <v>0.08</v>
      </c>
      <c r="H38" s="582">
        <v>0.08</v>
      </c>
      <c r="I38" s="388">
        <f t="shared" si="3"/>
        <v>0</v>
      </c>
      <c r="J38" s="385">
        <v>0.04</v>
      </c>
      <c r="K38" s="387">
        <v>0.04</v>
      </c>
      <c r="L38" s="388">
        <f t="shared" si="4"/>
        <v>0</v>
      </c>
      <c r="M38" s="385"/>
      <c r="N38" s="387"/>
      <c r="O38" s="388">
        <f t="shared" si="5"/>
        <v>0</v>
      </c>
      <c r="P38" s="384">
        <v>0.24</v>
      </c>
      <c r="Q38" s="581">
        <f>Q45+(((P45-Q45)/100)*50)</f>
        <v>0.215</v>
      </c>
      <c r="R38" s="386">
        <f t="shared" si="12"/>
        <v>-2.4999999999999994E-2</v>
      </c>
      <c r="S38" s="385">
        <v>0.05</v>
      </c>
      <c r="T38" s="581">
        <f>T45+(((S45-T45)/100)*25)</f>
        <v>1.2500000000000001E-2</v>
      </c>
      <c r="U38" s="386">
        <f t="shared" si="13"/>
        <v>-3.7500000000000006E-2</v>
      </c>
      <c r="V38" s="385">
        <v>0.33</v>
      </c>
      <c r="W38" s="385">
        <f>W45+(((V45-W45)/100)*25)</f>
        <v>0.12000000000000001</v>
      </c>
      <c r="X38" s="386">
        <f t="shared" si="14"/>
        <v>-0.21000000000000002</v>
      </c>
      <c r="Y38" s="385">
        <v>0.25</v>
      </c>
      <c r="Z38" s="582">
        <f>(Y38/100)*25</f>
        <v>6.25E-2</v>
      </c>
      <c r="AA38" s="386">
        <f t="shared" si="11"/>
        <v>0.1875</v>
      </c>
    </row>
    <row r="39" spans="1:28" ht="15.95">
      <c r="A39" s="707"/>
      <c r="B39" s="710"/>
      <c r="C39" s="25" t="s">
        <v>113</v>
      </c>
      <c r="D39" s="381"/>
      <c r="E39" s="382"/>
      <c r="F39" s="383"/>
      <c r="G39" s="581">
        <v>0.08</v>
      </c>
      <c r="H39" s="582">
        <v>0.08</v>
      </c>
      <c r="I39" s="388">
        <f t="shared" si="3"/>
        <v>0</v>
      </c>
      <c r="J39" s="385">
        <v>0.04</v>
      </c>
      <c r="K39" s="387">
        <v>0.04</v>
      </c>
      <c r="L39" s="388">
        <f t="shared" si="4"/>
        <v>0</v>
      </c>
      <c r="M39" s="385"/>
      <c r="N39" s="387"/>
      <c r="O39" s="388">
        <f t="shared" si="5"/>
        <v>0</v>
      </c>
      <c r="P39" s="384">
        <v>0.24</v>
      </c>
      <c r="Q39" s="581">
        <f>Q45+(((P45-Q45)/100)*25)</f>
        <v>0.20250000000000001</v>
      </c>
      <c r="R39" s="386">
        <f t="shared" si="12"/>
        <v>-3.7499999999999978E-2</v>
      </c>
      <c r="S39" s="385">
        <v>0.05</v>
      </c>
      <c r="T39" s="581">
        <v>0</v>
      </c>
      <c r="U39" s="386">
        <f t="shared" si="13"/>
        <v>-0.05</v>
      </c>
      <c r="V39" s="385">
        <v>0.33</v>
      </c>
      <c r="W39" s="385">
        <v>0.05</v>
      </c>
      <c r="X39" s="386">
        <f t="shared" si="14"/>
        <v>-0.28000000000000003</v>
      </c>
      <c r="Y39" s="385">
        <v>0.25</v>
      </c>
      <c r="Z39" s="582">
        <v>0</v>
      </c>
      <c r="AA39" s="386">
        <f t="shared" si="11"/>
        <v>0.25</v>
      </c>
    </row>
    <row r="40" spans="1:28" ht="15.95">
      <c r="A40" s="707"/>
      <c r="B40" s="710"/>
      <c r="C40" s="25" t="s">
        <v>114</v>
      </c>
      <c r="D40" s="381"/>
      <c r="E40" s="382"/>
      <c r="F40" s="383"/>
      <c r="G40" s="581">
        <v>0.08</v>
      </c>
      <c r="H40" s="582">
        <v>0.08</v>
      </c>
      <c r="I40" s="388">
        <f t="shared" si="3"/>
        <v>0</v>
      </c>
      <c r="J40" s="385">
        <v>0.04</v>
      </c>
      <c r="K40" s="387">
        <v>0.04</v>
      </c>
      <c r="L40" s="388">
        <f t="shared" si="4"/>
        <v>0</v>
      </c>
      <c r="M40" s="385"/>
      <c r="N40" s="387"/>
      <c r="O40" s="388">
        <f t="shared" si="5"/>
        <v>0</v>
      </c>
      <c r="P40" s="384">
        <v>0.24</v>
      </c>
      <c r="Q40" s="581">
        <v>0.19</v>
      </c>
      <c r="R40" s="386">
        <f t="shared" si="12"/>
        <v>-4.9999999999999989E-2</v>
      </c>
      <c r="S40" s="385">
        <v>0.05</v>
      </c>
      <c r="T40" s="581">
        <v>0</v>
      </c>
      <c r="U40" s="386">
        <f t="shared" si="13"/>
        <v>-0.05</v>
      </c>
      <c r="V40" s="385">
        <v>0.33</v>
      </c>
      <c r="W40" s="385">
        <v>0.05</v>
      </c>
      <c r="X40" s="386">
        <f t="shared" si="14"/>
        <v>-0.28000000000000003</v>
      </c>
      <c r="Y40" s="385">
        <v>0.25</v>
      </c>
      <c r="Z40" s="582">
        <v>0</v>
      </c>
      <c r="AA40" s="386">
        <f t="shared" si="11"/>
        <v>0.25</v>
      </c>
    </row>
    <row r="41" spans="1:28" ht="15.95">
      <c r="A41" s="707"/>
      <c r="B41" s="710"/>
      <c r="C41" s="25" t="s">
        <v>115</v>
      </c>
      <c r="D41" s="381"/>
      <c r="E41" s="382"/>
      <c r="F41" s="383"/>
      <c r="G41" s="581">
        <v>0.08</v>
      </c>
      <c r="H41" s="582">
        <v>0.08</v>
      </c>
      <c r="I41" s="388">
        <f t="shared" si="3"/>
        <v>0</v>
      </c>
      <c r="J41" s="385">
        <v>0.04</v>
      </c>
      <c r="K41" s="387">
        <v>0.04</v>
      </c>
      <c r="L41" s="388">
        <f t="shared" si="4"/>
        <v>0</v>
      </c>
      <c r="M41" s="385"/>
      <c r="N41" s="387"/>
      <c r="O41" s="388">
        <f t="shared" si="5"/>
        <v>0</v>
      </c>
      <c r="P41" s="384">
        <v>0.24</v>
      </c>
      <c r="Q41" s="581">
        <v>0.19</v>
      </c>
      <c r="R41" s="386">
        <f t="shared" si="12"/>
        <v>-4.9999999999999989E-2</v>
      </c>
      <c r="S41" s="385">
        <v>0.05</v>
      </c>
      <c r="T41" s="581">
        <v>0</v>
      </c>
      <c r="U41" s="386">
        <f t="shared" si="13"/>
        <v>-0.05</v>
      </c>
      <c r="V41" s="385">
        <v>0.33</v>
      </c>
      <c r="W41" s="385">
        <v>0.05</v>
      </c>
      <c r="X41" s="386">
        <f t="shared" si="14"/>
        <v>-0.28000000000000003</v>
      </c>
      <c r="Y41" s="385">
        <v>0.25</v>
      </c>
      <c r="Z41" s="582">
        <v>0</v>
      </c>
      <c r="AA41" s="386">
        <f t="shared" si="11"/>
        <v>0.25</v>
      </c>
    </row>
    <row r="42" spans="1:28" ht="15.95">
      <c r="A42" s="707"/>
      <c r="B42" s="710"/>
      <c r="C42" s="25" t="s">
        <v>116</v>
      </c>
      <c r="D42" s="381"/>
      <c r="E42" s="382"/>
      <c r="F42" s="383"/>
      <c r="G42" s="581">
        <v>0.08</v>
      </c>
      <c r="H42" s="582">
        <v>0.08</v>
      </c>
      <c r="I42" s="388">
        <f t="shared" si="3"/>
        <v>0</v>
      </c>
      <c r="J42" s="385">
        <v>0.04</v>
      </c>
      <c r="K42" s="387">
        <v>0.04</v>
      </c>
      <c r="L42" s="388">
        <f t="shared" si="4"/>
        <v>0</v>
      </c>
      <c r="M42" s="385"/>
      <c r="N42" s="387"/>
      <c r="O42" s="388">
        <f t="shared" si="5"/>
        <v>0</v>
      </c>
      <c r="P42" s="384">
        <v>0.24</v>
      </c>
      <c r="Q42" s="581">
        <v>0.19</v>
      </c>
      <c r="R42" s="386">
        <f t="shared" si="12"/>
        <v>-4.9999999999999989E-2</v>
      </c>
      <c r="S42" s="385">
        <v>0.05</v>
      </c>
      <c r="T42" s="581">
        <v>0</v>
      </c>
      <c r="U42" s="386">
        <f t="shared" si="13"/>
        <v>-0.05</v>
      </c>
      <c r="V42" s="385">
        <v>0.33</v>
      </c>
      <c r="W42" s="385">
        <v>0.05</v>
      </c>
      <c r="X42" s="386">
        <f t="shared" si="14"/>
        <v>-0.28000000000000003</v>
      </c>
      <c r="Y42" s="385">
        <v>0.25</v>
      </c>
      <c r="Z42" s="582">
        <v>0</v>
      </c>
      <c r="AA42" s="386">
        <f t="shared" si="11"/>
        <v>0.25</v>
      </c>
    </row>
    <row r="43" spans="1:28" ht="15.95">
      <c r="A43" s="707"/>
      <c r="B43" s="710"/>
      <c r="C43" s="25" t="s">
        <v>117</v>
      </c>
      <c r="D43" s="381"/>
      <c r="E43" s="382"/>
      <c r="F43" s="383"/>
      <c r="G43" s="581">
        <v>0.08</v>
      </c>
      <c r="H43" s="582">
        <v>0.08</v>
      </c>
      <c r="I43" s="388">
        <f t="shared" si="3"/>
        <v>0</v>
      </c>
      <c r="J43" s="385">
        <v>0.04</v>
      </c>
      <c r="K43" s="387">
        <v>0.04</v>
      </c>
      <c r="L43" s="388">
        <f t="shared" si="4"/>
        <v>0</v>
      </c>
      <c r="M43" s="385"/>
      <c r="N43" s="387"/>
      <c r="O43" s="388">
        <f t="shared" si="5"/>
        <v>0</v>
      </c>
      <c r="P43" s="384">
        <v>0.24</v>
      </c>
      <c r="Q43" s="581">
        <v>0.19</v>
      </c>
      <c r="R43" s="386">
        <f t="shared" si="12"/>
        <v>-4.9999999999999989E-2</v>
      </c>
      <c r="S43" s="385">
        <v>0.05</v>
      </c>
      <c r="T43" s="581">
        <v>0</v>
      </c>
      <c r="U43" s="386">
        <f t="shared" si="13"/>
        <v>-0.05</v>
      </c>
      <c r="V43" s="385">
        <v>0.33</v>
      </c>
      <c r="W43" s="385">
        <v>0.05</v>
      </c>
      <c r="X43" s="386">
        <f t="shared" si="14"/>
        <v>-0.28000000000000003</v>
      </c>
      <c r="Y43" s="385">
        <v>0.25</v>
      </c>
      <c r="Z43" s="582">
        <v>0</v>
      </c>
      <c r="AA43" s="386">
        <f t="shared" si="11"/>
        <v>0.25</v>
      </c>
    </row>
    <row r="44" spans="1:28" ht="15.95">
      <c r="A44" s="707"/>
      <c r="B44" s="710"/>
      <c r="C44" s="25" t="s">
        <v>118</v>
      </c>
      <c r="D44" s="381"/>
      <c r="E44" s="382"/>
      <c r="F44" s="383"/>
      <c r="G44" s="581">
        <v>0.08</v>
      </c>
      <c r="H44" s="582">
        <v>0.08</v>
      </c>
      <c r="I44" s="388">
        <f t="shared" si="3"/>
        <v>0</v>
      </c>
      <c r="J44" s="385">
        <v>0.04</v>
      </c>
      <c r="K44" s="387">
        <v>0.04</v>
      </c>
      <c r="L44" s="388">
        <f t="shared" si="4"/>
        <v>0</v>
      </c>
      <c r="M44" s="385"/>
      <c r="N44" s="387"/>
      <c r="O44" s="388">
        <f t="shared" si="5"/>
        <v>0</v>
      </c>
      <c r="P44" s="384">
        <v>0.24</v>
      </c>
      <c r="Q44" s="581">
        <v>0.19</v>
      </c>
      <c r="R44" s="386">
        <f t="shared" si="12"/>
        <v>-4.9999999999999989E-2</v>
      </c>
      <c r="S44" s="385">
        <v>0.05</v>
      </c>
      <c r="T44" s="581">
        <v>0</v>
      </c>
      <c r="U44" s="386">
        <f t="shared" si="13"/>
        <v>-0.05</v>
      </c>
      <c r="V44" s="385">
        <v>0.33</v>
      </c>
      <c r="W44" s="385">
        <v>0.05</v>
      </c>
      <c r="X44" s="386">
        <f t="shared" si="14"/>
        <v>-0.28000000000000003</v>
      </c>
      <c r="Y44" s="385">
        <v>0.25</v>
      </c>
      <c r="Z44" s="582">
        <v>0</v>
      </c>
      <c r="AA44" s="386">
        <f t="shared" si="11"/>
        <v>0.25</v>
      </c>
    </row>
    <row r="45" spans="1:28" ht="15.95">
      <c r="A45" s="708"/>
      <c r="B45" s="711"/>
      <c r="C45" s="364" t="s">
        <v>119</v>
      </c>
      <c r="D45" s="389"/>
      <c r="E45" s="390"/>
      <c r="F45" s="391"/>
      <c r="G45" s="583">
        <v>0.08</v>
      </c>
      <c r="H45" s="584">
        <v>0.08</v>
      </c>
      <c r="I45" s="396">
        <f t="shared" si="3"/>
        <v>0</v>
      </c>
      <c r="J45" s="393">
        <v>0.04</v>
      </c>
      <c r="K45" s="395">
        <v>0.04</v>
      </c>
      <c r="L45" s="396">
        <f t="shared" si="4"/>
        <v>0</v>
      </c>
      <c r="M45" s="393"/>
      <c r="N45" s="395"/>
      <c r="O45" s="396">
        <f t="shared" si="5"/>
        <v>0</v>
      </c>
      <c r="P45" s="392">
        <v>0.24</v>
      </c>
      <c r="Q45" s="583">
        <v>0.19</v>
      </c>
      <c r="R45" s="394">
        <f>Q45-P45</f>
        <v>-4.9999999999999989E-2</v>
      </c>
      <c r="S45" s="385">
        <v>0.05</v>
      </c>
      <c r="T45" s="581">
        <v>0</v>
      </c>
      <c r="U45" s="394">
        <f>T45-S45</f>
        <v>-0.05</v>
      </c>
      <c r="V45" s="393">
        <v>0.33</v>
      </c>
      <c r="W45" s="393">
        <v>0.05</v>
      </c>
      <c r="X45" s="394">
        <f>W45-V45</f>
        <v>-0.28000000000000003</v>
      </c>
      <c r="Y45" s="393">
        <v>0.25</v>
      </c>
      <c r="Z45" s="584">
        <v>0</v>
      </c>
      <c r="AA45" s="394">
        <f t="shared" si="11"/>
        <v>0.25</v>
      </c>
    </row>
    <row r="46" spans="1:28" s="398" customFormat="1" ht="14.45" customHeight="1">
      <c r="A46" s="706" t="s">
        <v>163</v>
      </c>
      <c r="B46" s="709" t="s">
        <v>164</v>
      </c>
      <c r="C46" s="346" t="s">
        <v>110</v>
      </c>
      <c r="D46" s="373">
        <f>SUM(P46,S46,V46,Y46)</f>
        <v>0</v>
      </c>
      <c r="E46" s="374">
        <f>SUM(Q46,T46,W46,Z46)</f>
        <v>0</v>
      </c>
      <c r="F46" s="375">
        <f>D46-E46</f>
        <v>0</v>
      </c>
      <c r="G46" s="377"/>
      <c r="H46" s="379"/>
      <c r="I46" s="380">
        <f t="shared" si="3"/>
        <v>0</v>
      </c>
      <c r="J46" s="377"/>
      <c r="K46" s="379"/>
      <c r="L46" s="380">
        <f t="shared" si="4"/>
        <v>0</v>
      </c>
      <c r="M46" s="377"/>
      <c r="N46" s="379"/>
      <c r="O46" s="380">
        <f t="shared" si="5"/>
        <v>0</v>
      </c>
      <c r="P46" s="376"/>
      <c r="Q46" s="377"/>
      <c r="R46" s="378">
        <f t="shared" ref="R46:R54" si="15">Q46-P46</f>
        <v>0</v>
      </c>
      <c r="S46" s="377"/>
      <c r="T46" s="377"/>
      <c r="U46" s="378">
        <f t="shared" ref="U46:U54" si="16">T46-S46</f>
        <v>0</v>
      </c>
      <c r="V46" s="377"/>
      <c r="W46" s="377"/>
      <c r="X46" s="378">
        <f t="shared" ref="X46:X54" si="17">W46-V46</f>
        <v>0</v>
      </c>
      <c r="Y46" s="377"/>
      <c r="Z46" s="379"/>
      <c r="AA46" s="378">
        <f t="shared" si="11"/>
        <v>0</v>
      </c>
      <c r="AB46" s="397">
        <f>'Analyza citlivosti - AgendovéIS'!Q7</f>
        <v>0</v>
      </c>
    </row>
    <row r="47" spans="1:28" ht="15.95">
      <c r="A47" s="707"/>
      <c r="B47" s="710"/>
      <c r="C47" s="25" t="s">
        <v>111</v>
      </c>
      <c r="D47" s="381">
        <f t="shared" ref="D47:D55" si="18">SUM(P47,S47,V47,Y47)</f>
        <v>0</v>
      </c>
      <c r="E47" s="382">
        <f t="shared" ref="E47:E55" si="19">SUM(Q47,T47,W47,Z47)</f>
        <v>0</v>
      </c>
      <c r="F47" s="383">
        <f t="shared" ref="F47:F55" si="20">D47-E47</f>
        <v>0</v>
      </c>
      <c r="G47" s="385"/>
      <c r="H47" s="387"/>
      <c r="I47" s="388">
        <f t="shared" si="3"/>
        <v>0</v>
      </c>
      <c r="J47" s="385"/>
      <c r="K47" s="387"/>
      <c r="L47" s="388">
        <f t="shared" si="4"/>
        <v>0</v>
      </c>
      <c r="M47" s="385"/>
      <c r="N47" s="387"/>
      <c r="O47" s="388">
        <f t="shared" si="5"/>
        <v>0</v>
      </c>
      <c r="P47" s="384"/>
      <c r="Q47" s="385"/>
      <c r="R47" s="386">
        <f t="shared" si="15"/>
        <v>0</v>
      </c>
      <c r="S47" s="385"/>
      <c r="T47" s="385"/>
      <c r="U47" s="386">
        <f t="shared" si="16"/>
        <v>0</v>
      </c>
      <c r="V47" s="385"/>
      <c r="W47" s="385"/>
      <c r="X47" s="386">
        <f t="shared" si="17"/>
        <v>0</v>
      </c>
      <c r="Y47" s="385"/>
      <c r="Z47" s="387"/>
      <c r="AA47" s="386">
        <f t="shared" si="11"/>
        <v>0</v>
      </c>
    </row>
    <row r="48" spans="1:28" ht="15.95">
      <c r="A48" s="707"/>
      <c r="B48" s="710"/>
      <c r="C48" s="25" t="s">
        <v>112</v>
      </c>
      <c r="D48" s="381">
        <f t="shared" si="18"/>
        <v>0</v>
      </c>
      <c r="E48" s="382">
        <f t="shared" si="19"/>
        <v>0</v>
      </c>
      <c r="F48" s="383">
        <f t="shared" si="20"/>
        <v>0</v>
      </c>
      <c r="G48" s="385"/>
      <c r="H48" s="387"/>
      <c r="I48" s="388">
        <f t="shared" si="3"/>
        <v>0</v>
      </c>
      <c r="J48" s="385"/>
      <c r="K48" s="387"/>
      <c r="L48" s="388">
        <f t="shared" si="4"/>
        <v>0</v>
      </c>
      <c r="M48" s="385"/>
      <c r="N48" s="387"/>
      <c r="O48" s="388">
        <f t="shared" si="5"/>
        <v>0</v>
      </c>
      <c r="P48" s="384"/>
      <c r="Q48" s="385"/>
      <c r="R48" s="386">
        <f t="shared" si="15"/>
        <v>0</v>
      </c>
      <c r="S48" s="385"/>
      <c r="T48" s="385"/>
      <c r="U48" s="386">
        <f t="shared" si="16"/>
        <v>0</v>
      </c>
      <c r="V48" s="385"/>
      <c r="W48" s="385"/>
      <c r="X48" s="386">
        <f t="shared" si="17"/>
        <v>0</v>
      </c>
      <c r="Y48" s="385"/>
      <c r="Z48" s="387"/>
      <c r="AA48" s="386">
        <f t="shared" si="11"/>
        <v>0</v>
      </c>
    </row>
    <row r="49" spans="1:28" ht="15.95">
      <c r="A49" s="707"/>
      <c r="B49" s="710"/>
      <c r="C49" s="25" t="s">
        <v>113</v>
      </c>
      <c r="D49" s="381">
        <f t="shared" si="18"/>
        <v>0</v>
      </c>
      <c r="E49" s="382">
        <f t="shared" si="19"/>
        <v>0</v>
      </c>
      <c r="F49" s="383">
        <f t="shared" si="20"/>
        <v>0</v>
      </c>
      <c r="G49" s="385"/>
      <c r="H49" s="387"/>
      <c r="I49" s="388">
        <f t="shared" si="3"/>
        <v>0</v>
      </c>
      <c r="J49" s="385"/>
      <c r="K49" s="387"/>
      <c r="L49" s="388">
        <f t="shared" si="4"/>
        <v>0</v>
      </c>
      <c r="M49" s="385"/>
      <c r="N49" s="387"/>
      <c r="O49" s="388">
        <f t="shared" si="5"/>
        <v>0</v>
      </c>
      <c r="P49" s="384"/>
      <c r="Q49" s="385"/>
      <c r="R49" s="386">
        <f t="shared" si="15"/>
        <v>0</v>
      </c>
      <c r="S49" s="385"/>
      <c r="T49" s="385"/>
      <c r="U49" s="386">
        <f t="shared" si="16"/>
        <v>0</v>
      </c>
      <c r="V49" s="385"/>
      <c r="W49" s="385"/>
      <c r="X49" s="386">
        <f t="shared" si="17"/>
        <v>0</v>
      </c>
      <c r="Y49" s="385"/>
      <c r="Z49" s="387"/>
      <c r="AA49" s="386">
        <f t="shared" si="11"/>
        <v>0</v>
      </c>
    </row>
    <row r="50" spans="1:28" ht="15.95">
      <c r="A50" s="707"/>
      <c r="B50" s="710"/>
      <c r="C50" s="25" t="s">
        <v>114</v>
      </c>
      <c r="D50" s="381">
        <f t="shared" si="18"/>
        <v>0</v>
      </c>
      <c r="E50" s="382">
        <f t="shared" si="19"/>
        <v>0</v>
      </c>
      <c r="F50" s="383">
        <f t="shared" si="20"/>
        <v>0</v>
      </c>
      <c r="G50" s="385"/>
      <c r="H50" s="387"/>
      <c r="I50" s="388">
        <f t="shared" si="3"/>
        <v>0</v>
      </c>
      <c r="J50" s="385"/>
      <c r="K50" s="387"/>
      <c r="L50" s="388">
        <f t="shared" si="4"/>
        <v>0</v>
      </c>
      <c r="M50" s="385"/>
      <c r="N50" s="387"/>
      <c r="O50" s="388">
        <f t="shared" si="5"/>
        <v>0</v>
      </c>
      <c r="P50" s="384"/>
      <c r="Q50" s="385"/>
      <c r="R50" s="386">
        <f t="shared" si="15"/>
        <v>0</v>
      </c>
      <c r="S50" s="385"/>
      <c r="T50" s="385"/>
      <c r="U50" s="386">
        <f t="shared" si="16"/>
        <v>0</v>
      </c>
      <c r="V50" s="385"/>
      <c r="W50" s="385"/>
      <c r="X50" s="386">
        <f t="shared" si="17"/>
        <v>0</v>
      </c>
      <c r="Y50" s="385"/>
      <c r="Z50" s="387"/>
      <c r="AA50" s="386">
        <f t="shared" si="11"/>
        <v>0</v>
      </c>
    </row>
    <row r="51" spans="1:28" ht="15.95">
      <c r="A51" s="707"/>
      <c r="B51" s="710"/>
      <c r="C51" s="25" t="s">
        <v>115</v>
      </c>
      <c r="D51" s="381">
        <f t="shared" si="18"/>
        <v>0</v>
      </c>
      <c r="E51" s="382">
        <f t="shared" si="19"/>
        <v>0</v>
      </c>
      <c r="F51" s="383">
        <f t="shared" si="20"/>
        <v>0</v>
      </c>
      <c r="G51" s="385"/>
      <c r="H51" s="387"/>
      <c r="I51" s="388">
        <f t="shared" si="3"/>
        <v>0</v>
      </c>
      <c r="J51" s="385"/>
      <c r="K51" s="387"/>
      <c r="L51" s="388">
        <f t="shared" si="4"/>
        <v>0</v>
      </c>
      <c r="M51" s="385"/>
      <c r="N51" s="387"/>
      <c r="O51" s="388">
        <f t="shared" si="5"/>
        <v>0</v>
      </c>
      <c r="P51" s="384"/>
      <c r="Q51" s="385"/>
      <c r="R51" s="386">
        <f t="shared" si="15"/>
        <v>0</v>
      </c>
      <c r="S51" s="385"/>
      <c r="T51" s="385"/>
      <c r="U51" s="386">
        <f t="shared" si="16"/>
        <v>0</v>
      </c>
      <c r="V51" s="385"/>
      <c r="W51" s="385"/>
      <c r="X51" s="386">
        <f t="shared" si="17"/>
        <v>0</v>
      </c>
      <c r="Y51" s="385"/>
      <c r="Z51" s="387"/>
      <c r="AA51" s="386">
        <f t="shared" si="11"/>
        <v>0</v>
      </c>
    </row>
    <row r="52" spans="1:28" ht="15.95">
      <c r="A52" s="707"/>
      <c r="B52" s="710"/>
      <c r="C52" s="25" t="s">
        <v>116</v>
      </c>
      <c r="D52" s="381">
        <f t="shared" si="18"/>
        <v>0</v>
      </c>
      <c r="E52" s="382">
        <f t="shared" si="19"/>
        <v>0</v>
      </c>
      <c r="F52" s="383">
        <f t="shared" si="20"/>
        <v>0</v>
      </c>
      <c r="G52" s="385"/>
      <c r="H52" s="387"/>
      <c r="I52" s="388">
        <f t="shared" si="3"/>
        <v>0</v>
      </c>
      <c r="J52" s="385"/>
      <c r="K52" s="387"/>
      <c r="L52" s="388">
        <f t="shared" si="4"/>
        <v>0</v>
      </c>
      <c r="M52" s="385"/>
      <c r="N52" s="387"/>
      <c r="O52" s="388">
        <f t="shared" si="5"/>
        <v>0</v>
      </c>
      <c r="P52" s="384"/>
      <c r="Q52" s="385"/>
      <c r="R52" s="386">
        <f t="shared" si="15"/>
        <v>0</v>
      </c>
      <c r="S52" s="385"/>
      <c r="T52" s="385"/>
      <c r="U52" s="386">
        <f t="shared" si="16"/>
        <v>0</v>
      </c>
      <c r="V52" s="385"/>
      <c r="W52" s="385"/>
      <c r="X52" s="386">
        <f t="shared" si="17"/>
        <v>0</v>
      </c>
      <c r="Y52" s="385"/>
      <c r="Z52" s="387"/>
      <c r="AA52" s="386">
        <f t="shared" si="11"/>
        <v>0</v>
      </c>
    </row>
    <row r="53" spans="1:28" ht="15.95">
      <c r="A53" s="707"/>
      <c r="B53" s="710"/>
      <c r="C53" s="25" t="s">
        <v>117</v>
      </c>
      <c r="D53" s="381">
        <f t="shared" si="18"/>
        <v>0</v>
      </c>
      <c r="E53" s="382">
        <f t="shared" si="19"/>
        <v>0</v>
      </c>
      <c r="F53" s="383">
        <f t="shared" si="20"/>
        <v>0</v>
      </c>
      <c r="G53" s="385"/>
      <c r="H53" s="387"/>
      <c r="I53" s="388">
        <f t="shared" si="3"/>
        <v>0</v>
      </c>
      <c r="J53" s="385"/>
      <c r="K53" s="387"/>
      <c r="L53" s="388">
        <f t="shared" si="4"/>
        <v>0</v>
      </c>
      <c r="M53" s="385"/>
      <c r="N53" s="387"/>
      <c r="O53" s="388">
        <f t="shared" si="5"/>
        <v>0</v>
      </c>
      <c r="P53" s="384"/>
      <c r="Q53" s="385"/>
      <c r="R53" s="386">
        <f t="shared" si="15"/>
        <v>0</v>
      </c>
      <c r="S53" s="385"/>
      <c r="T53" s="385"/>
      <c r="U53" s="386">
        <f t="shared" si="16"/>
        <v>0</v>
      </c>
      <c r="V53" s="385"/>
      <c r="W53" s="385"/>
      <c r="X53" s="386">
        <f t="shared" si="17"/>
        <v>0</v>
      </c>
      <c r="Y53" s="385"/>
      <c r="Z53" s="387"/>
      <c r="AA53" s="386">
        <f t="shared" si="11"/>
        <v>0</v>
      </c>
    </row>
    <row r="54" spans="1:28" ht="15.95">
      <c r="A54" s="707"/>
      <c r="B54" s="710"/>
      <c r="C54" s="25" t="s">
        <v>118</v>
      </c>
      <c r="D54" s="381">
        <f t="shared" si="18"/>
        <v>0</v>
      </c>
      <c r="E54" s="382">
        <f t="shared" si="19"/>
        <v>0</v>
      </c>
      <c r="F54" s="383">
        <f t="shared" si="20"/>
        <v>0</v>
      </c>
      <c r="G54" s="385"/>
      <c r="H54" s="387"/>
      <c r="I54" s="388">
        <f t="shared" si="3"/>
        <v>0</v>
      </c>
      <c r="J54" s="385"/>
      <c r="K54" s="387"/>
      <c r="L54" s="388">
        <f t="shared" si="4"/>
        <v>0</v>
      </c>
      <c r="M54" s="385"/>
      <c r="N54" s="387"/>
      <c r="O54" s="388">
        <f t="shared" si="5"/>
        <v>0</v>
      </c>
      <c r="P54" s="384"/>
      <c r="Q54" s="385"/>
      <c r="R54" s="386">
        <f t="shared" si="15"/>
        <v>0</v>
      </c>
      <c r="S54" s="385"/>
      <c r="T54" s="385"/>
      <c r="U54" s="386">
        <f t="shared" si="16"/>
        <v>0</v>
      </c>
      <c r="V54" s="385"/>
      <c r="W54" s="385"/>
      <c r="X54" s="386">
        <f t="shared" si="17"/>
        <v>0</v>
      </c>
      <c r="Y54" s="385"/>
      <c r="Z54" s="387"/>
      <c r="AA54" s="386">
        <f t="shared" si="11"/>
        <v>0</v>
      </c>
    </row>
    <row r="55" spans="1:28" ht="15.95">
      <c r="A55" s="708"/>
      <c r="B55" s="711"/>
      <c r="C55" s="364" t="s">
        <v>119</v>
      </c>
      <c r="D55" s="389">
        <f t="shared" si="18"/>
        <v>0</v>
      </c>
      <c r="E55" s="390">
        <f t="shared" si="19"/>
        <v>0</v>
      </c>
      <c r="F55" s="391">
        <f t="shared" si="20"/>
        <v>0</v>
      </c>
      <c r="G55" s="393"/>
      <c r="H55" s="395"/>
      <c r="I55" s="396">
        <f t="shared" si="3"/>
        <v>0</v>
      </c>
      <c r="J55" s="393"/>
      <c r="K55" s="395"/>
      <c r="L55" s="396">
        <f t="shared" si="4"/>
        <v>0</v>
      </c>
      <c r="M55" s="393"/>
      <c r="N55" s="395"/>
      <c r="O55" s="396">
        <f t="shared" si="5"/>
        <v>0</v>
      </c>
      <c r="P55" s="392"/>
      <c r="Q55" s="393"/>
      <c r="R55" s="394">
        <f>Q55-P55</f>
        <v>0</v>
      </c>
      <c r="S55" s="393"/>
      <c r="T55" s="393"/>
      <c r="U55" s="394">
        <f>T55-S55</f>
        <v>0</v>
      </c>
      <c r="V55" s="393"/>
      <c r="W55" s="393"/>
      <c r="X55" s="394">
        <f>W55-V55</f>
        <v>0</v>
      </c>
      <c r="Y55" s="393"/>
      <c r="Z55" s="395"/>
      <c r="AA55" s="394">
        <f t="shared" si="11"/>
        <v>0</v>
      </c>
    </row>
    <row r="56" spans="1:28" s="398" customFormat="1" ht="14.25" customHeight="1">
      <c r="A56" s="707" t="s">
        <v>94</v>
      </c>
      <c r="B56" s="710" t="s">
        <v>159</v>
      </c>
      <c r="C56" s="25" t="s">
        <v>110</v>
      </c>
      <c r="D56" s="347">
        <f>P56+S56+V56+Y56</f>
        <v>0</v>
      </c>
      <c r="E56" s="348">
        <f>Q56+T56+W56+Z56</f>
        <v>0</v>
      </c>
      <c r="F56" s="349">
        <f>R56+U56+X56+AA56</f>
        <v>0</v>
      </c>
      <c r="G56" s="351"/>
      <c r="H56" s="353"/>
      <c r="I56" s="354">
        <f t="shared" si="3"/>
        <v>0</v>
      </c>
      <c r="J56" s="351"/>
      <c r="K56" s="353"/>
      <c r="L56" s="354">
        <f t="shared" si="4"/>
        <v>0</v>
      </c>
      <c r="M56" s="351"/>
      <c r="N56" s="353"/>
      <c r="O56" s="354">
        <f t="shared" si="5"/>
        <v>0</v>
      </c>
      <c r="P56" s="350"/>
      <c r="Q56" s="351"/>
      <c r="R56" s="352">
        <f t="shared" ref="R56:R65" si="21">Q56-P56</f>
        <v>0</v>
      </c>
      <c r="S56" s="351"/>
      <c r="T56" s="351"/>
      <c r="U56" s="352">
        <f t="shared" ref="U56:U65" si="22">T56-S56</f>
        <v>0</v>
      </c>
      <c r="V56" s="351"/>
      <c r="W56" s="351"/>
      <c r="X56" s="352">
        <f t="shared" ref="X56:X65" si="23">W56-V56</f>
        <v>0</v>
      </c>
      <c r="Y56" s="351"/>
      <c r="Z56" s="353"/>
      <c r="AA56" s="352">
        <f t="shared" si="11"/>
        <v>0</v>
      </c>
      <c r="AB56" s="397">
        <v>0</v>
      </c>
    </row>
    <row r="57" spans="1:28" ht="15.95">
      <c r="A57" s="707"/>
      <c r="B57" s="710"/>
      <c r="C57" s="25" t="s">
        <v>111</v>
      </c>
      <c r="D57" s="356">
        <f t="shared" ref="D57:D65" si="24">P57+S57+V57+Y57</f>
        <v>0</v>
      </c>
      <c r="E57" s="357">
        <f t="shared" ref="E57:E65" si="25">Q57+T57+W57+Z57</f>
        <v>0</v>
      </c>
      <c r="F57" s="358">
        <f t="shared" ref="F57:F65" si="26">R57+U57+X57+AA57</f>
        <v>0</v>
      </c>
      <c r="G57" s="360"/>
      <c r="H57" s="362"/>
      <c r="I57" s="363">
        <f t="shared" si="3"/>
        <v>0</v>
      </c>
      <c r="J57" s="360"/>
      <c r="K57" s="362"/>
      <c r="L57" s="363">
        <f t="shared" si="4"/>
        <v>0</v>
      </c>
      <c r="M57" s="360"/>
      <c r="N57" s="362"/>
      <c r="O57" s="363">
        <f t="shared" si="5"/>
        <v>0</v>
      </c>
      <c r="P57" s="359"/>
      <c r="Q57" s="360"/>
      <c r="R57" s="361">
        <f t="shared" si="21"/>
        <v>0</v>
      </c>
      <c r="S57" s="360"/>
      <c r="T57" s="360"/>
      <c r="U57" s="361">
        <f t="shared" si="22"/>
        <v>0</v>
      </c>
      <c r="V57" s="360"/>
      <c r="W57" s="360"/>
      <c r="X57" s="361">
        <f t="shared" si="23"/>
        <v>0</v>
      </c>
      <c r="Y57" s="360"/>
      <c r="Z57" s="362"/>
      <c r="AA57" s="361">
        <f t="shared" si="11"/>
        <v>0</v>
      </c>
    </row>
    <row r="58" spans="1:28" ht="15.95">
      <c r="A58" s="707"/>
      <c r="B58" s="710"/>
      <c r="C58" s="25" t="s">
        <v>112</v>
      </c>
      <c r="D58" s="356">
        <f t="shared" si="24"/>
        <v>0</v>
      </c>
      <c r="E58" s="357">
        <f t="shared" si="25"/>
        <v>0</v>
      </c>
      <c r="F58" s="358">
        <f t="shared" si="26"/>
        <v>0</v>
      </c>
      <c r="G58" s="360"/>
      <c r="H58" s="362"/>
      <c r="I58" s="363">
        <f t="shared" si="3"/>
        <v>0</v>
      </c>
      <c r="J58" s="360"/>
      <c r="K58" s="362"/>
      <c r="L58" s="363">
        <f t="shared" si="4"/>
        <v>0</v>
      </c>
      <c r="M58" s="360"/>
      <c r="N58" s="362"/>
      <c r="O58" s="363">
        <f t="shared" si="5"/>
        <v>0</v>
      </c>
      <c r="P58" s="359"/>
      <c r="Q58" s="360"/>
      <c r="R58" s="361">
        <f t="shared" si="21"/>
        <v>0</v>
      </c>
      <c r="S58" s="360"/>
      <c r="T58" s="360"/>
      <c r="U58" s="361">
        <f t="shared" si="22"/>
        <v>0</v>
      </c>
      <c r="V58" s="360"/>
      <c r="W58" s="360"/>
      <c r="X58" s="361">
        <f t="shared" si="23"/>
        <v>0</v>
      </c>
      <c r="Y58" s="360"/>
      <c r="Z58" s="362"/>
      <c r="AA58" s="361">
        <f t="shared" si="11"/>
        <v>0</v>
      </c>
    </row>
    <row r="59" spans="1:28" ht="15.95">
      <c r="A59" s="707"/>
      <c r="B59" s="710"/>
      <c r="C59" s="25" t="s">
        <v>113</v>
      </c>
      <c r="D59" s="356">
        <f t="shared" si="24"/>
        <v>0</v>
      </c>
      <c r="E59" s="357">
        <f t="shared" si="25"/>
        <v>0</v>
      </c>
      <c r="F59" s="358">
        <f t="shared" si="26"/>
        <v>0</v>
      </c>
      <c r="G59" s="360"/>
      <c r="H59" s="362"/>
      <c r="I59" s="363">
        <f t="shared" si="3"/>
        <v>0</v>
      </c>
      <c r="J59" s="360"/>
      <c r="K59" s="362"/>
      <c r="L59" s="363">
        <f t="shared" si="4"/>
        <v>0</v>
      </c>
      <c r="M59" s="360"/>
      <c r="N59" s="362"/>
      <c r="O59" s="363">
        <f t="shared" si="5"/>
        <v>0</v>
      </c>
      <c r="P59" s="359"/>
      <c r="Q59" s="360"/>
      <c r="R59" s="361">
        <f t="shared" si="21"/>
        <v>0</v>
      </c>
      <c r="S59" s="360"/>
      <c r="T59" s="360"/>
      <c r="U59" s="361">
        <f t="shared" si="22"/>
        <v>0</v>
      </c>
      <c r="V59" s="360"/>
      <c r="W59" s="360"/>
      <c r="X59" s="361">
        <f t="shared" si="23"/>
        <v>0</v>
      </c>
      <c r="Y59" s="360"/>
      <c r="Z59" s="362"/>
      <c r="AA59" s="361">
        <f t="shared" si="11"/>
        <v>0</v>
      </c>
    </row>
    <row r="60" spans="1:28" ht="15.95">
      <c r="A60" s="707"/>
      <c r="B60" s="710"/>
      <c r="C60" s="25" t="s">
        <v>114</v>
      </c>
      <c r="D60" s="356">
        <f t="shared" si="24"/>
        <v>0</v>
      </c>
      <c r="E60" s="357">
        <f t="shared" si="25"/>
        <v>0</v>
      </c>
      <c r="F60" s="358">
        <f t="shared" si="26"/>
        <v>0</v>
      </c>
      <c r="G60" s="360"/>
      <c r="H60" s="362"/>
      <c r="I60" s="363">
        <f t="shared" si="3"/>
        <v>0</v>
      </c>
      <c r="J60" s="360"/>
      <c r="K60" s="362"/>
      <c r="L60" s="363">
        <f t="shared" si="4"/>
        <v>0</v>
      </c>
      <c r="M60" s="360"/>
      <c r="N60" s="362"/>
      <c r="O60" s="363">
        <f t="shared" si="5"/>
        <v>0</v>
      </c>
      <c r="P60" s="359"/>
      <c r="Q60" s="360"/>
      <c r="R60" s="361">
        <f t="shared" si="21"/>
        <v>0</v>
      </c>
      <c r="S60" s="360"/>
      <c r="T60" s="360"/>
      <c r="U60" s="361">
        <f t="shared" si="22"/>
        <v>0</v>
      </c>
      <c r="V60" s="360"/>
      <c r="W60" s="360"/>
      <c r="X60" s="361">
        <f t="shared" si="23"/>
        <v>0</v>
      </c>
      <c r="Y60" s="360"/>
      <c r="Z60" s="362"/>
      <c r="AA60" s="361">
        <f t="shared" si="11"/>
        <v>0</v>
      </c>
    </row>
    <row r="61" spans="1:28" ht="15.95">
      <c r="A61" s="707"/>
      <c r="B61" s="710"/>
      <c r="C61" s="25" t="s">
        <v>115</v>
      </c>
      <c r="D61" s="356">
        <f t="shared" si="24"/>
        <v>0</v>
      </c>
      <c r="E61" s="357">
        <f t="shared" si="25"/>
        <v>0</v>
      </c>
      <c r="F61" s="358">
        <f t="shared" si="26"/>
        <v>0</v>
      </c>
      <c r="G61" s="360"/>
      <c r="H61" s="362"/>
      <c r="I61" s="363">
        <f t="shared" si="3"/>
        <v>0</v>
      </c>
      <c r="J61" s="360"/>
      <c r="K61" s="362"/>
      <c r="L61" s="363">
        <f t="shared" si="4"/>
        <v>0</v>
      </c>
      <c r="M61" s="360"/>
      <c r="N61" s="362"/>
      <c r="O61" s="363">
        <f t="shared" si="5"/>
        <v>0</v>
      </c>
      <c r="P61" s="359"/>
      <c r="Q61" s="360"/>
      <c r="R61" s="361">
        <f t="shared" si="21"/>
        <v>0</v>
      </c>
      <c r="S61" s="360"/>
      <c r="T61" s="360"/>
      <c r="U61" s="361">
        <f t="shared" si="22"/>
        <v>0</v>
      </c>
      <c r="V61" s="360"/>
      <c r="W61" s="360"/>
      <c r="X61" s="361">
        <f t="shared" si="23"/>
        <v>0</v>
      </c>
      <c r="Y61" s="360"/>
      <c r="Z61" s="362"/>
      <c r="AA61" s="361">
        <f t="shared" si="11"/>
        <v>0</v>
      </c>
    </row>
    <row r="62" spans="1:28" ht="15.95">
      <c r="A62" s="707"/>
      <c r="B62" s="710"/>
      <c r="C62" s="25" t="s">
        <v>116</v>
      </c>
      <c r="D62" s="356">
        <f t="shared" si="24"/>
        <v>0</v>
      </c>
      <c r="E62" s="357">
        <f t="shared" si="25"/>
        <v>0</v>
      </c>
      <c r="F62" s="358">
        <f t="shared" si="26"/>
        <v>0</v>
      </c>
      <c r="G62" s="360"/>
      <c r="H62" s="362"/>
      <c r="I62" s="363">
        <f t="shared" si="3"/>
        <v>0</v>
      </c>
      <c r="J62" s="360"/>
      <c r="K62" s="362"/>
      <c r="L62" s="363">
        <f t="shared" si="4"/>
        <v>0</v>
      </c>
      <c r="M62" s="360"/>
      <c r="N62" s="362"/>
      <c r="O62" s="363">
        <f t="shared" si="5"/>
        <v>0</v>
      </c>
      <c r="P62" s="359"/>
      <c r="Q62" s="360"/>
      <c r="R62" s="361">
        <f t="shared" si="21"/>
        <v>0</v>
      </c>
      <c r="S62" s="360"/>
      <c r="T62" s="360"/>
      <c r="U62" s="361">
        <f t="shared" si="22"/>
        <v>0</v>
      </c>
      <c r="V62" s="360"/>
      <c r="W62" s="360"/>
      <c r="X62" s="361">
        <f t="shared" si="23"/>
        <v>0</v>
      </c>
      <c r="Y62" s="360"/>
      <c r="Z62" s="362"/>
      <c r="AA62" s="361">
        <f t="shared" si="11"/>
        <v>0</v>
      </c>
    </row>
    <row r="63" spans="1:28" ht="15.95">
      <c r="A63" s="707"/>
      <c r="B63" s="710"/>
      <c r="C63" s="25" t="s">
        <v>117</v>
      </c>
      <c r="D63" s="356">
        <f t="shared" si="24"/>
        <v>0</v>
      </c>
      <c r="E63" s="357">
        <f t="shared" si="25"/>
        <v>0</v>
      </c>
      <c r="F63" s="358">
        <f t="shared" si="26"/>
        <v>0</v>
      </c>
      <c r="G63" s="360"/>
      <c r="H63" s="362"/>
      <c r="I63" s="363">
        <f t="shared" si="3"/>
        <v>0</v>
      </c>
      <c r="J63" s="360"/>
      <c r="K63" s="362"/>
      <c r="L63" s="363">
        <f t="shared" si="4"/>
        <v>0</v>
      </c>
      <c r="M63" s="360"/>
      <c r="N63" s="362"/>
      <c r="O63" s="363">
        <f t="shared" si="5"/>
        <v>0</v>
      </c>
      <c r="P63" s="359"/>
      <c r="Q63" s="360"/>
      <c r="R63" s="361">
        <f t="shared" si="21"/>
        <v>0</v>
      </c>
      <c r="S63" s="360"/>
      <c r="T63" s="360"/>
      <c r="U63" s="361">
        <f t="shared" si="22"/>
        <v>0</v>
      </c>
      <c r="V63" s="360"/>
      <c r="W63" s="360"/>
      <c r="X63" s="361">
        <f t="shared" si="23"/>
        <v>0</v>
      </c>
      <c r="Y63" s="360"/>
      <c r="Z63" s="362"/>
      <c r="AA63" s="361">
        <f t="shared" si="11"/>
        <v>0</v>
      </c>
    </row>
    <row r="64" spans="1:28" ht="15.95">
      <c r="A64" s="707"/>
      <c r="B64" s="710"/>
      <c r="C64" s="25" t="s">
        <v>118</v>
      </c>
      <c r="D64" s="356">
        <f t="shared" si="24"/>
        <v>0</v>
      </c>
      <c r="E64" s="357">
        <f t="shared" si="25"/>
        <v>0</v>
      </c>
      <c r="F64" s="358">
        <f t="shared" si="26"/>
        <v>0</v>
      </c>
      <c r="G64" s="360"/>
      <c r="H64" s="362"/>
      <c r="I64" s="363">
        <f t="shared" si="3"/>
        <v>0</v>
      </c>
      <c r="J64" s="360"/>
      <c r="K64" s="362"/>
      <c r="L64" s="363">
        <f t="shared" si="4"/>
        <v>0</v>
      </c>
      <c r="M64" s="360"/>
      <c r="N64" s="362"/>
      <c r="O64" s="363">
        <f t="shared" si="5"/>
        <v>0</v>
      </c>
      <c r="P64" s="359"/>
      <c r="Q64" s="360"/>
      <c r="R64" s="361">
        <f t="shared" si="21"/>
        <v>0</v>
      </c>
      <c r="S64" s="360"/>
      <c r="T64" s="360"/>
      <c r="U64" s="361">
        <f t="shared" si="22"/>
        <v>0</v>
      </c>
      <c r="V64" s="360"/>
      <c r="W64" s="360"/>
      <c r="X64" s="361">
        <f t="shared" si="23"/>
        <v>0</v>
      </c>
      <c r="Y64" s="360"/>
      <c r="Z64" s="362"/>
      <c r="AA64" s="361">
        <f t="shared" si="11"/>
        <v>0</v>
      </c>
    </row>
    <row r="65" spans="1:28" s="400" customFormat="1" ht="15.95">
      <c r="A65" s="708"/>
      <c r="B65" s="711"/>
      <c r="C65" s="364" t="s">
        <v>119</v>
      </c>
      <c r="D65" s="365">
        <f t="shared" si="24"/>
        <v>0</v>
      </c>
      <c r="E65" s="366">
        <f t="shared" si="25"/>
        <v>0</v>
      </c>
      <c r="F65" s="367">
        <f t="shared" si="26"/>
        <v>0</v>
      </c>
      <c r="G65" s="369"/>
      <c r="H65" s="371"/>
      <c r="I65" s="372">
        <f t="shared" si="3"/>
        <v>0</v>
      </c>
      <c r="J65" s="369"/>
      <c r="K65" s="371"/>
      <c r="L65" s="372">
        <f t="shared" si="4"/>
        <v>0</v>
      </c>
      <c r="M65" s="369"/>
      <c r="N65" s="371"/>
      <c r="O65" s="372">
        <f t="shared" si="5"/>
        <v>0</v>
      </c>
      <c r="P65" s="368"/>
      <c r="Q65" s="369"/>
      <c r="R65" s="370">
        <f t="shared" si="21"/>
        <v>0</v>
      </c>
      <c r="S65" s="369"/>
      <c r="T65" s="369"/>
      <c r="U65" s="370">
        <f t="shared" si="22"/>
        <v>0</v>
      </c>
      <c r="V65" s="369"/>
      <c r="W65" s="369"/>
      <c r="X65" s="370">
        <f t="shared" si="23"/>
        <v>0</v>
      </c>
      <c r="Y65" s="369"/>
      <c r="Z65" s="371"/>
      <c r="AA65" s="370">
        <f t="shared" si="11"/>
        <v>0</v>
      </c>
      <c r="AB65" s="399"/>
    </row>
    <row r="66" spans="1:28" ht="15.95">
      <c r="A66" s="401"/>
      <c r="B66" s="402"/>
      <c r="C66" s="403"/>
      <c r="D66" s="402"/>
      <c r="E66" s="402"/>
      <c r="F66" s="404" t="s">
        <v>76</v>
      </c>
      <c r="G66" s="405"/>
      <c r="H66" s="407"/>
      <c r="I66" s="408"/>
      <c r="J66" s="405"/>
      <c r="K66" s="407"/>
      <c r="L66" s="408"/>
      <c r="M66" s="405"/>
      <c r="N66" s="407"/>
      <c r="O66" s="408"/>
      <c r="P66" s="405"/>
      <c r="Q66" s="405"/>
      <c r="R66" s="406"/>
      <c r="S66" s="405"/>
      <c r="T66" s="405"/>
      <c r="U66" s="406"/>
      <c r="V66" s="405"/>
      <c r="W66" s="405"/>
      <c r="X66" s="406"/>
      <c r="Y66" s="405"/>
      <c r="Z66" s="407"/>
      <c r="AA66" s="408"/>
    </row>
    <row r="67" spans="1:28" ht="15.95">
      <c r="A67" s="720" t="s">
        <v>156</v>
      </c>
      <c r="B67" s="722" t="s">
        <v>157</v>
      </c>
      <c r="C67" s="409" t="s">
        <v>110</v>
      </c>
      <c r="D67" s="410">
        <f>P67+S67+V67+Y67</f>
        <v>2732212</v>
      </c>
      <c r="E67" s="411">
        <f t="shared" ref="E67:F76" si="27">Q67+T67+W67+Z67</f>
        <v>2732212</v>
      </c>
      <c r="F67" s="412">
        <f t="shared" si="27"/>
        <v>0</v>
      </c>
      <c r="G67" s="414">
        <f t="shared" ref="G67:G76" si="28">G6</f>
        <v>1983920</v>
      </c>
      <c r="H67" s="416">
        <f t="shared" ref="H67:H76" si="29">H6*(1+$AB$67)</f>
        <v>1983920</v>
      </c>
      <c r="I67" s="417">
        <f t="shared" ref="I67:I77" si="30">H67-G67</f>
        <v>0</v>
      </c>
      <c r="J67" s="414">
        <f t="shared" ref="J67:J76" si="31">J6</f>
        <v>2544577</v>
      </c>
      <c r="K67" s="416">
        <f t="shared" ref="K67:K76" si="32">K6*(1+$AB$67)</f>
        <v>2544577</v>
      </c>
      <c r="L67" s="417">
        <f t="shared" ref="L67:L76" si="33">K67-J67</f>
        <v>0</v>
      </c>
      <c r="M67" s="414">
        <f>M6</f>
        <v>0</v>
      </c>
      <c r="N67" s="416">
        <f>N6*(1+$AB$67)</f>
        <v>0</v>
      </c>
      <c r="O67" s="417">
        <f t="shared" ref="O67:O76" si="34">N67-M67</f>
        <v>0</v>
      </c>
      <c r="P67" s="413">
        <f t="shared" ref="P67:P76" si="35">P6</f>
        <v>585018</v>
      </c>
      <c r="Q67" s="414">
        <f t="shared" ref="Q67:Q76" si="36">Q6*(1+$AB$67)</f>
        <v>585018</v>
      </c>
      <c r="R67" s="415">
        <f>Q67-P67</f>
        <v>0</v>
      </c>
      <c r="S67" s="414">
        <f>S6</f>
        <v>1983920</v>
      </c>
      <c r="T67" s="414">
        <f>T6*(1+$AB$67)</f>
        <v>1983920</v>
      </c>
      <c r="U67" s="415">
        <f t="shared" ref="U67:U76" si="37">T67-S67</f>
        <v>0</v>
      </c>
      <c r="V67" s="414">
        <f t="shared" ref="V67:V76" si="38">V6</f>
        <v>24113</v>
      </c>
      <c r="W67" s="414">
        <f t="shared" ref="W67:W76" si="39">W6*(1+$AB$67)</f>
        <v>24113</v>
      </c>
      <c r="X67" s="415">
        <f t="shared" ref="X67:X76" si="40">W67-V67</f>
        <v>0</v>
      </c>
      <c r="Y67" s="414">
        <f t="shared" ref="Y67:Y76" si="41">Y6</f>
        <v>139161</v>
      </c>
      <c r="Z67" s="416">
        <f t="shared" ref="Z67:Z76" si="42">Z6*(1+$AB$67)</f>
        <v>139161</v>
      </c>
      <c r="AA67" s="417">
        <f t="shared" ref="AA67:AA76" si="43">Z67-Y67</f>
        <v>0</v>
      </c>
      <c r="AB67" s="418">
        <f>'Analyza citlivosti - AgendovéIS'!K7</f>
        <v>0</v>
      </c>
    </row>
    <row r="68" spans="1:28" ht="15.95">
      <c r="A68" s="720"/>
      <c r="B68" s="722"/>
      <c r="C68" s="409" t="s">
        <v>111</v>
      </c>
      <c r="D68" s="410">
        <f t="shared" ref="D68:D76" si="44">P68+S68+V68+Y68</f>
        <v>2732212</v>
      </c>
      <c r="E68" s="411">
        <f t="shared" si="27"/>
        <v>2732212</v>
      </c>
      <c r="F68" s="412">
        <f t="shared" si="27"/>
        <v>0</v>
      </c>
      <c r="G68" s="420">
        <f t="shared" si="28"/>
        <v>1983920</v>
      </c>
      <c r="H68" s="421">
        <f t="shared" si="29"/>
        <v>1884724</v>
      </c>
      <c r="I68" s="363">
        <f t="shared" si="30"/>
        <v>-99196</v>
      </c>
      <c r="J68" s="420">
        <f t="shared" si="31"/>
        <v>2544577</v>
      </c>
      <c r="K68" s="421">
        <f t="shared" si="32"/>
        <v>2065500.75</v>
      </c>
      <c r="L68" s="363">
        <f t="shared" si="33"/>
        <v>-479076.25</v>
      </c>
      <c r="M68" s="420">
        <f t="shared" ref="M68:M76" si="45">M7</f>
        <v>0</v>
      </c>
      <c r="N68" s="421">
        <f t="shared" ref="N68:N76" si="46">N7*(1+$AB$67)</f>
        <v>0</v>
      </c>
      <c r="O68" s="363">
        <f t="shared" si="34"/>
        <v>0</v>
      </c>
      <c r="P68" s="419">
        <f t="shared" si="35"/>
        <v>585018</v>
      </c>
      <c r="Q68" s="420">
        <f t="shared" si="36"/>
        <v>585018</v>
      </c>
      <c r="R68" s="361">
        <f t="shared" ref="R68:R76" si="47">Q68-P68</f>
        <v>0</v>
      </c>
      <c r="S68" s="420">
        <f t="shared" ref="S68:S76" si="48">S7</f>
        <v>1983920</v>
      </c>
      <c r="T68" s="420">
        <f t="shared" ref="T68:T76" si="49">T7*(1+$AB$67)</f>
        <v>1983920</v>
      </c>
      <c r="U68" s="361">
        <f t="shared" si="37"/>
        <v>0</v>
      </c>
      <c r="V68" s="420">
        <f t="shared" si="38"/>
        <v>24113</v>
      </c>
      <c r="W68" s="420">
        <f t="shared" si="39"/>
        <v>24113</v>
      </c>
      <c r="X68" s="361">
        <f t="shared" si="40"/>
        <v>0</v>
      </c>
      <c r="Y68" s="420">
        <f t="shared" si="41"/>
        <v>139161</v>
      </c>
      <c r="Z68" s="421">
        <f t="shared" si="42"/>
        <v>139161</v>
      </c>
      <c r="AA68" s="363">
        <f t="shared" si="43"/>
        <v>0</v>
      </c>
    </row>
    <row r="69" spans="1:28" ht="15.95">
      <c r="A69" s="720"/>
      <c r="B69" s="722"/>
      <c r="C69" s="409" t="s">
        <v>112</v>
      </c>
      <c r="D69" s="410">
        <f t="shared" si="44"/>
        <v>2732212</v>
      </c>
      <c r="E69" s="411">
        <f t="shared" si="27"/>
        <v>2732212</v>
      </c>
      <c r="F69" s="412">
        <f t="shared" si="27"/>
        <v>0</v>
      </c>
      <c r="G69" s="420">
        <f t="shared" si="28"/>
        <v>1983920</v>
      </c>
      <c r="H69" s="421">
        <f t="shared" si="29"/>
        <v>1686332</v>
      </c>
      <c r="I69" s="363">
        <f t="shared" si="30"/>
        <v>-297588</v>
      </c>
      <c r="J69" s="420">
        <f t="shared" si="31"/>
        <v>2544577</v>
      </c>
      <c r="K69" s="421">
        <f t="shared" si="32"/>
        <v>1107348.25</v>
      </c>
      <c r="L69" s="363">
        <f t="shared" si="33"/>
        <v>-1437228.75</v>
      </c>
      <c r="M69" s="420">
        <f t="shared" si="45"/>
        <v>0</v>
      </c>
      <c r="N69" s="421">
        <f t="shared" si="46"/>
        <v>0</v>
      </c>
      <c r="O69" s="363">
        <f t="shared" si="34"/>
        <v>0</v>
      </c>
      <c r="P69" s="419">
        <f t="shared" si="35"/>
        <v>585018</v>
      </c>
      <c r="Q69" s="420">
        <f t="shared" si="36"/>
        <v>585018</v>
      </c>
      <c r="R69" s="361">
        <f t="shared" si="47"/>
        <v>0</v>
      </c>
      <c r="S69" s="420">
        <f t="shared" si="48"/>
        <v>1983920</v>
      </c>
      <c r="T69" s="420">
        <f t="shared" si="49"/>
        <v>1983920</v>
      </c>
      <c r="U69" s="361">
        <f t="shared" si="37"/>
        <v>0</v>
      </c>
      <c r="V69" s="420">
        <f t="shared" si="38"/>
        <v>24113</v>
      </c>
      <c r="W69" s="420">
        <f t="shared" si="39"/>
        <v>24113</v>
      </c>
      <c r="X69" s="361">
        <f t="shared" si="40"/>
        <v>0</v>
      </c>
      <c r="Y69" s="420">
        <f t="shared" si="41"/>
        <v>139161</v>
      </c>
      <c r="Z69" s="421">
        <f t="shared" si="42"/>
        <v>139161</v>
      </c>
      <c r="AA69" s="363">
        <f t="shared" si="43"/>
        <v>0</v>
      </c>
    </row>
    <row r="70" spans="1:28" ht="15.95">
      <c r="A70" s="720"/>
      <c r="B70" s="722"/>
      <c r="C70" s="409" t="s">
        <v>113</v>
      </c>
      <c r="D70" s="410">
        <f t="shared" si="44"/>
        <v>2732212</v>
      </c>
      <c r="E70" s="411">
        <f t="shared" si="27"/>
        <v>2732212</v>
      </c>
      <c r="F70" s="412">
        <f t="shared" si="27"/>
        <v>0</v>
      </c>
      <c r="G70" s="420">
        <f t="shared" si="28"/>
        <v>1983920</v>
      </c>
      <c r="H70" s="421">
        <f t="shared" si="29"/>
        <v>1587136</v>
      </c>
      <c r="I70" s="363">
        <f t="shared" si="30"/>
        <v>-396784</v>
      </c>
      <c r="J70" s="420">
        <f t="shared" si="31"/>
        <v>2544577</v>
      </c>
      <c r="K70" s="421">
        <f t="shared" si="32"/>
        <v>628272</v>
      </c>
      <c r="L70" s="363">
        <f t="shared" si="33"/>
        <v>-1916305</v>
      </c>
      <c r="M70" s="420">
        <f t="shared" si="45"/>
        <v>0</v>
      </c>
      <c r="N70" s="421">
        <f t="shared" si="46"/>
        <v>0</v>
      </c>
      <c r="O70" s="363">
        <f t="shared" si="34"/>
        <v>0</v>
      </c>
      <c r="P70" s="419">
        <f t="shared" si="35"/>
        <v>585018</v>
      </c>
      <c r="Q70" s="420">
        <f t="shared" si="36"/>
        <v>585018</v>
      </c>
      <c r="R70" s="361">
        <f t="shared" si="47"/>
        <v>0</v>
      </c>
      <c r="S70" s="420">
        <f t="shared" si="48"/>
        <v>1983920</v>
      </c>
      <c r="T70" s="420">
        <f t="shared" si="49"/>
        <v>1983920</v>
      </c>
      <c r="U70" s="361">
        <f t="shared" si="37"/>
        <v>0</v>
      </c>
      <c r="V70" s="420">
        <f t="shared" si="38"/>
        <v>24113</v>
      </c>
      <c r="W70" s="420">
        <f t="shared" si="39"/>
        <v>24113</v>
      </c>
      <c r="X70" s="361">
        <f t="shared" si="40"/>
        <v>0</v>
      </c>
      <c r="Y70" s="420">
        <f t="shared" si="41"/>
        <v>139161</v>
      </c>
      <c r="Z70" s="421">
        <f t="shared" si="42"/>
        <v>139161</v>
      </c>
      <c r="AA70" s="363">
        <f t="shared" si="43"/>
        <v>0</v>
      </c>
    </row>
    <row r="71" spans="1:28" ht="15.95">
      <c r="A71" s="720"/>
      <c r="B71" s="722"/>
      <c r="C71" s="409" t="s">
        <v>114</v>
      </c>
      <c r="D71" s="410">
        <f t="shared" si="44"/>
        <v>2732212</v>
      </c>
      <c r="E71" s="411">
        <f t="shared" si="27"/>
        <v>2732212</v>
      </c>
      <c r="F71" s="412">
        <f t="shared" si="27"/>
        <v>0</v>
      </c>
      <c r="G71" s="420">
        <f t="shared" si="28"/>
        <v>1983920</v>
      </c>
      <c r="H71" s="421">
        <f t="shared" si="29"/>
        <v>1587136</v>
      </c>
      <c r="I71" s="363">
        <f t="shared" si="30"/>
        <v>-396784</v>
      </c>
      <c r="J71" s="420">
        <f t="shared" si="31"/>
        <v>2544577</v>
      </c>
      <c r="K71" s="421">
        <f t="shared" si="32"/>
        <v>628272</v>
      </c>
      <c r="L71" s="363">
        <f t="shared" si="33"/>
        <v>-1916305</v>
      </c>
      <c r="M71" s="420">
        <f t="shared" si="45"/>
        <v>0</v>
      </c>
      <c r="N71" s="421">
        <f t="shared" si="46"/>
        <v>0</v>
      </c>
      <c r="O71" s="363">
        <f t="shared" si="34"/>
        <v>0</v>
      </c>
      <c r="P71" s="419">
        <f t="shared" si="35"/>
        <v>585018</v>
      </c>
      <c r="Q71" s="420">
        <f t="shared" si="36"/>
        <v>585018</v>
      </c>
      <c r="R71" s="361">
        <f t="shared" si="47"/>
        <v>0</v>
      </c>
      <c r="S71" s="420">
        <f t="shared" si="48"/>
        <v>1983920</v>
      </c>
      <c r="T71" s="420">
        <f t="shared" si="49"/>
        <v>1983920</v>
      </c>
      <c r="U71" s="361">
        <f t="shared" si="37"/>
        <v>0</v>
      </c>
      <c r="V71" s="420">
        <f t="shared" si="38"/>
        <v>24113</v>
      </c>
      <c r="W71" s="420">
        <f t="shared" si="39"/>
        <v>24113</v>
      </c>
      <c r="X71" s="361">
        <f t="shared" si="40"/>
        <v>0</v>
      </c>
      <c r="Y71" s="420">
        <f t="shared" si="41"/>
        <v>139161</v>
      </c>
      <c r="Z71" s="421">
        <f t="shared" si="42"/>
        <v>139161</v>
      </c>
      <c r="AA71" s="363">
        <f t="shared" si="43"/>
        <v>0</v>
      </c>
    </row>
    <row r="72" spans="1:28" ht="15.95">
      <c r="A72" s="720"/>
      <c r="B72" s="722"/>
      <c r="C72" s="409" t="s">
        <v>115</v>
      </c>
      <c r="D72" s="410">
        <f t="shared" si="44"/>
        <v>2732212</v>
      </c>
      <c r="E72" s="411">
        <f t="shared" si="27"/>
        <v>2732212</v>
      </c>
      <c r="F72" s="412">
        <f t="shared" si="27"/>
        <v>0</v>
      </c>
      <c r="G72" s="420">
        <f t="shared" si="28"/>
        <v>1983920</v>
      </c>
      <c r="H72" s="421">
        <f t="shared" si="29"/>
        <v>1587136</v>
      </c>
      <c r="I72" s="363">
        <f t="shared" si="30"/>
        <v>-396784</v>
      </c>
      <c r="J72" s="420">
        <f t="shared" si="31"/>
        <v>2544577</v>
      </c>
      <c r="K72" s="421">
        <f t="shared" si="32"/>
        <v>628272</v>
      </c>
      <c r="L72" s="363">
        <f t="shared" si="33"/>
        <v>-1916305</v>
      </c>
      <c r="M72" s="420">
        <f t="shared" si="45"/>
        <v>0</v>
      </c>
      <c r="N72" s="421">
        <f t="shared" si="46"/>
        <v>0</v>
      </c>
      <c r="O72" s="363">
        <f t="shared" si="34"/>
        <v>0</v>
      </c>
      <c r="P72" s="419">
        <f t="shared" si="35"/>
        <v>585018</v>
      </c>
      <c r="Q72" s="420">
        <f t="shared" si="36"/>
        <v>585018</v>
      </c>
      <c r="R72" s="361">
        <f t="shared" si="47"/>
        <v>0</v>
      </c>
      <c r="S72" s="420">
        <f t="shared" si="48"/>
        <v>1983920</v>
      </c>
      <c r="T72" s="420">
        <f t="shared" si="49"/>
        <v>1983920</v>
      </c>
      <c r="U72" s="361">
        <f t="shared" si="37"/>
        <v>0</v>
      </c>
      <c r="V72" s="420">
        <f t="shared" si="38"/>
        <v>24113</v>
      </c>
      <c r="W72" s="420">
        <f t="shared" si="39"/>
        <v>24113</v>
      </c>
      <c r="X72" s="361">
        <f t="shared" si="40"/>
        <v>0</v>
      </c>
      <c r="Y72" s="420">
        <f t="shared" si="41"/>
        <v>139161</v>
      </c>
      <c r="Z72" s="421">
        <f t="shared" si="42"/>
        <v>139161</v>
      </c>
      <c r="AA72" s="363">
        <f t="shared" si="43"/>
        <v>0</v>
      </c>
    </row>
    <row r="73" spans="1:28" ht="15.95">
      <c r="A73" s="720"/>
      <c r="B73" s="722"/>
      <c r="C73" s="409" t="s">
        <v>116</v>
      </c>
      <c r="D73" s="410">
        <f t="shared" si="44"/>
        <v>2732212</v>
      </c>
      <c r="E73" s="411">
        <f t="shared" si="27"/>
        <v>2732212</v>
      </c>
      <c r="F73" s="412">
        <f t="shared" si="27"/>
        <v>0</v>
      </c>
      <c r="G73" s="420">
        <f t="shared" si="28"/>
        <v>1983920</v>
      </c>
      <c r="H73" s="421">
        <f t="shared" si="29"/>
        <v>1587136</v>
      </c>
      <c r="I73" s="363">
        <f t="shared" si="30"/>
        <v>-396784</v>
      </c>
      <c r="J73" s="420">
        <f t="shared" si="31"/>
        <v>2544577</v>
      </c>
      <c r="K73" s="421">
        <f t="shared" si="32"/>
        <v>628272</v>
      </c>
      <c r="L73" s="363">
        <f t="shared" si="33"/>
        <v>-1916305</v>
      </c>
      <c r="M73" s="420">
        <f t="shared" si="45"/>
        <v>0</v>
      </c>
      <c r="N73" s="421">
        <f t="shared" si="46"/>
        <v>0</v>
      </c>
      <c r="O73" s="363">
        <f t="shared" si="34"/>
        <v>0</v>
      </c>
      <c r="P73" s="419">
        <f t="shared" si="35"/>
        <v>585018</v>
      </c>
      <c r="Q73" s="420">
        <f t="shared" si="36"/>
        <v>585018</v>
      </c>
      <c r="R73" s="361">
        <f t="shared" si="47"/>
        <v>0</v>
      </c>
      <c r="S73" s="420">
        <f t="shared" si="48"/>
        <v>1983920</v>
      </c>
      <c r="T73" s="420">
        <f t="shared" si="49"/>
        <v>1983920</v>
      </c>
      <c r="U73" s="361">
        <f t="shared" si="37"/>
        <v>0</v>
      </c>
      <c r="V73" s="420">
        <f t="shared" si="38"/>
        <v>24113</v>
      </c>
      <c r="W73" s="420">
        <f t="shared" si="39"/>
        <v>24113</v>
      </c>
      <c r="X73" s="361">
        <f t="shared" si="40"/>
        <v>0</v>
      </c>
      <c r="Y73" s="420">
        <f t="shared" si="41"/>
        <v>139161</v>
      </c>
      <c r="Z73" s="421">
        <f t="shared" si="42"/>
        <v>139161</v>
      </c>
      <c r="AA73" s="363">
        <f t="shared" si="43"/>
        <v>0</v>
      </c>
    </row>
    <row r="74" spans="1:28" ht="15.95">
      <c r="A74" s="720"/>
      <c r="B74" s="722"/>
      <c r="C74" s="409" t="s">
        <v>117</v>
      </c>
      <c r="D74" s="410">
        <f t="shared" si="44"/>
        <v>2732212</v>
      </c>
      <c r="E74" s="411">
        <f t="shared" si="27"/>
        <v>2732212</v>
      </c>
      <c r="F74" s="412">
        <f t="shared" si="27"/>
        <v>0</v>
      </c>
      <c r="G74" s="420">
        <f t="shared" si="28"/>
        <v>1983920</v>
      </c>
      <c r="H74" s="421">
        <f t="shared" si="29"/>
        <v>1587136</v>
      </c>
      <c r="I74" s="363">
        <f t="shared" si="30"/>
        <v>-396784</v>
      </c>
      <c r="J74" s="420">
        <f t="shared" si="31"/>
        <v>2544577</v>
      </c>
      <c r="K74" s="421">
        <f t="shared" si="32"/>
        <v>628272</v>
      </c>
      <c r="L74" s="363">
        <f t="shared" si="33"/>
        <v>-1916305</v>
      </c>
      <c r="M74" s="420">
        <f t="shared" si="45"/>
        <v>0</v>
      </c>
      <c r="N74" s="421">
        <f t="shared" si="46"/>
        <v>0</v>
      </c>
      <c r="O74" s="363">
        <f t="shared" si="34"/>
        <v>0</v>
      </c>
      <c r="P74" s="419">
        <f t="shared" si="35"/>
        <v>585018</v>
      </c>
      <c r="Q74" s="420">
        <f t="shared" si="36"/>
        <v>585018</v>
      </c>
      <c r="R74" s="361">
        <f t="shared" si="47"/>
        <v>0</v>
      </c>
      <c r="S74" s="420">
        <f t="shared" si="48"/>
        <v>1983920</v>
      </c>
      <c r="T74" s="420">
        <f t="shared" si="49"/>
        <v>1983920</v>
      </c>
      <c r="U74" s="361">
        <f t="shared" si="37"/>
        <v>0</v>
      </c>
      <c r="V74" s="420">
        <f t="shared" si="38"/>
        <v>24113</v>
      </c>
      <c r="W74" s="420">
        <f t="shared" si="39"/>
        <v>24113</v>
      </c>
      <c r="X74" s="361">
        <f t="shared" si="40"/>
        <v>0</v>
      </c>
      <c r="Y74" s="420">
        <f t="shared" si="41"/>
        <v>139161</v>
      </c>
      <c r="Z74" s="421">
        <f t="shared" si="42"/>
        <v>139161</v>
      </c>
      <c r="AA74" s="363">
        <f t="shared" si="43"/>
        <v>0</v>
      </c>
    </row>
    <row r="75" spans="1:28" ht="15.95">
      <c r="A75" s="720"/>
      <c r="B75" s="722"/>
      <c r="C75" s="409" t="s">
        <v>118</v>
      </c>
      <c r="D75" s="410">
        <f t="shared" si="44"/>
        <v>2732212</v>
      </c>
      <c r="E75" s="411">
        <f t="shared" si="27"/>
        <v>2732212</v>
      </c>
      <c r="F75" s="412">
        <f t="shared" si="27"/>
        <v>0</v>
      </c>
      <c r="G75" s="420">
        <f t="shared" si="28"/>
        <v>1983920</v>
      </c>
      <c r="H75" s="421">
        <f t="shared" si="29"/>
        <v>1587136</v>
      </c>
      <c r="I75" s="363">
        <f t="shared" si="30"/>
        <v>-396784</v>
      </c>
      <c r="J75" s="420">
        <f t="shared" si="31"/>
        <v>2544577</v>
      </c>
      <c r="K75" s="421">
        <f t="shared" si="32"/>
        <v>628272</v>
      </c>
      <c r="L75" s="363">
        <f t="shared" si="33"/>
        <v>-1916305</v>
      </c>
      <c r="M75" s="420">
        <f t="shared" si="45"/>
        <v>0</v>
      </c>
      <c r="N75" s="421">
        <f t="shared" si="46"/>
        <v>0</v>
      </c>
      <c r="O75" s="363">
        <f t="shared" si="34"/>
        <v>0</v>
      </c>
      <c r="P75" s="419">
        <f t="shared" si="35"/>
        <v>585018</v>
      </c>
      <c r="Q75" s="420">
        <f t="shared" si="36"/>
        <v>585018</v>
      </c>
      <c r="R75" s="361">
        <f t="shared" si="47"/>
        <v>0</v>
      </c>
      <c r="S75" s="420">
        <f t="shared" si="48"/>
        <v>1983920</v>
      </c>
      <c r="T75" s="420">
        <f t="shared" si="49"/>
        <v>1983920</v>
      </c>
      <c r="U75" s="361">
        <f t="shared" si="37"/>
        <v>0</v>
      </c>
      <c r="V75" s="420">
        <f t="shared" si="38"/>
        <v>24113</v>
      </c>
      <c r="W75" s="420">
        <f t="shared" si="39"/>
        <v>24113</v>
      </c>
      <c r="X75" s="361">
        <f t="shared" si="40"/>
        <v>0</v>
      </c>
      <c r="Y75" s="420">
        <f t="shared" si="41"/>
        <v>139161</v>
      </c>
      <c r="Z75" s="421">
        <f t="shared" si="42"/>
        <v>139161</v>
      </c>
      <c r="AA75" s="363">
        <f t="shared" si="43"/>
        <v>0</v>
      </c>
    </row>
    <row r="76" spans="1:28" ht="15.95">
      <c r="A76" s="721"/>
      <c r="B76" s="723"/>
      <c r="C76" s="422" t="s">
        <v>119</v>
      </c>
      <c r="D76" s="423">
        <f t="shared" si="44"/>
        <v>2732212</v>
      </c>
      <c r="E76" s="424">
        <f t="shared" si="27"/>
        <v>2732212</v>
      </c>
      <c r="F76" s="425">
        <f t="shared" si="27"/>
        <v>0</v>
      </c>
      <c r="G76" s="427">
        <f t="shared" si="28"/>
        <v>1983920</v>
      </c>
      <c r="H76" s="428">
        <f t="shared" si="29"/>
        <v>1587136</v>
      </c>
      <c r="I76" s="372">
        <f t="shared" si="30"/>
        <v>-396784</v>
      </c>
      <c r="J76" s="427">
        <f t="shared" si="31"/>
        <v>2544577</v>
      </c>
      <c r="K76" s="428">
        <f t="shared" si="32"/>
        <v>628272</v>
      </c>
      <c r="L76" s="372">
        <f t="shared" si="33"/>
        <v>-1916305</v>
      </c>
      <c r="M76" s="427">
        <f t="shared" si="45"/>
        <v>0</v>
      </c>
      <c r="N76" s="428">
        <f t="shared" si="46"/>
        <v>0</v>
      </c>
      <c r="O76" s="372">
        <f t="shared" si="34"/>
        <v>0</v>
      </c>
      <c r="P76" s="426">
        <f t="shared" si="35"/>
        <v>585018</v>
      </c>
      <c r="Q76" s="427">
        <f t="shared" si="36"/>
        <v>585018</v>
      </c>
      <c r="R76" s="370">
        <f t="shared" si="47"/>
        <v>0</v>
      </c>
      <c r="S76" s="427">
        <f t="shared" si="48"/>
        <v>1983920</v>
      </c>
      <c r="T76" s="427">
        <f t="shared" si="49"/>
        <v>1983920</v>
      </c>
      <c r="U76" s="370">
        <f t="shared" si="37"/>
        <v>0</v>
      </c>
      <c r="V76" s="427">
        <f t="shared" si="38"/>
        <v>24113</v>
      </c>
      <c r="W76" s="427">
        <f t="shared" si="39"/>
        <v>24113</v>
      </c>
      <c r="X76" s="370">
        <f t="shared" si="40"/>
        <v>0</v>
      </c>
      <c r="Y76" s="427">
        <f t="shared" si="41"/>
        <v>139161</v>
      </c>
      <c r="Z76" s="428">
        <f t="shared" si="42"/>
        <v>139161</v>
      </c>
      <c r="AA76" s="372">
        <f t="shared" si="43"/>
        <v>0</v>
      </c>
    </row>
    <row r="77" spans="1:28" ht="15.95">
      <c r="A77" s="720" t="s">
        <v>165</v>
      </c>
      <c r="B77" s="722" t="s">
        <v>159</v>
      </c>
      <c r="C77" s="409" t="s">
        <v>110</v>
      </c>
      <c r="D77" s="410">
        <f>P77+S77+V77+Y77</f>
        <v>3239632.6094704792</v>
      </c>
      <c r="E77" s="411">
        <f>Q77+T77+W77+Z77</f>
        <v>3239632.6094704792</v>
      </c>
      <c r="F77" s="412">
        <f>R77+U77+X77+AA77</f>
        <v>0</v>
      </c>
      <c r="G77" s="420">
        <f>G6*G36*Faktory!$D$8</f>
        <v>1806096.0663638315</v>
      </c>
      <c r="H77" s="421">
        <f>((H67*G36)-(H67*((G36-H36)*(1+$AB$36))))*Faktory!$D$8</f>
        <v>1806096.0663638315</v>
      </c>
      <c r="I77" s="363">
        <f t="shared" si="30"/>
        <v>0</v>
      </c>
      <c r="J77" s="430">
        <f>J6*J36*Faktory!$D$8</f>
        <v>1158249.957221027</v>
      </c>
      <c r="K77" s="431">
        <f>((K67*J36)-(K67*((J36-K36)*(1+$AB$36))))*Faktory!$D$8</f>
        <v>1158249.957221027</v>
      </c>
      <c r="L77" s="432">
        <f>K77-J77</f>
        <v>0</v>
      </c>
      <c r="M77" s="430">
        <f>M6*M36*Faktory!$D$8</f>
        <v>0</v>
      </c>
      <c r="N77" s="431">
        <f>((N67*M36)-(N67*((M36-N36)*(1+$AB$36))))*Faktory!$D$8</f>
        <v>0</v>
      </c>
      <c r="O77" s="432">
        <f>N77-M77</f>
        <v>0</v>
      </c>
      <c r="P77" s="429">
        <f>P6*P36*Faktory!$D$8</f>
        <v>1624372.9893764413</v>
      </c>
      <c r="Q77" s="430">
        <f>((Q67*P36)-(Q67*((P36-Q36)*(1+$AB$36))))*Faktory!$D$8</f>
        <v>1624372.9893764413</v>
      </c>
      <c r="R77" s="352">
        <f>Q77-P77</f>
        <v>0</v>
      </c>
      <c r="S77" s="430">
        <f>S6*S36*Faktory!$D$8</f>
        <v>1128810.0414773948</v>
      </c>
      <c r="T77" s="430">
        <f>((T67*S36)-(T67*((S36-T36)*(1+$AB$36))))*Faktory!$D$8</f>
        <v>1128810.0414773948</v>
      </c>
      <c r="U77" s="352">
        <f>T77-S77</f>
        <v>0</v>
      </c>
      <c r="V77" s="430">
        <f>V6*V36*Faktory!$D$8</f>
        <v>90550.716308597708</v>
      </c>
      <c r="W77" s="430">
        <f>((W67*V36)-(W67*((V36-W36)*(1+$AB$36))))*Faktory!$D$8</f>
        <v>90550.716308597708</v>
      </c>
      <c r="X77" s="352">
        <f>W77-V77</f>
        <v>0</v>
      </c>
      <c r="Y77" s="430">
        <f>Y6*Y36*Faktory!$D$8</f>
        <v>395898.86230804602</v>
      </c>
      <c r="Z77" s="431">
        <f>((Z67*Y36)-(Z67*((Y36-Z36)*(1+$AB$36))))*Faktory!$D$8</f>
        <v>395898.86230804602</v>
      </c>
      <c r="AA77" s="432">
        <f>Z77-Y77</f>
        <v>0</v>
      </c>
    </row>
    <row r="78" spans="1:28" ht="15.95">
      <c r="A78" s="720"/>
      <c r="B78" s="722"/>
      <c r="C78" s="409" t="s">
        <v>111</v>
      </c>
      <c r="D78" s="410">
        <f t="shared" ref="D78:D96" si="50">P78+S78+V78+Y78</f>
        <v>3213003.544070866</v>
      </c>
      <c r="E78" s="411">
        <f t="shared" ref="E78:E96" si="51">Q78+T78+W78+Z78</f>
        <v>2820039.9281204725</v>
      </c>
      <c r="F78" s="412">
        <f t="shared" ref="F78:F96" si="52">R78+U78+X78+AA78</f>
        <v>-392963.61595039378</v>
      </c>
      <c r="G78" s="420">
        <f>G7*G37*Faktory!$D$8</f>
        <v>1806096.0663638315</v>
      </c>
      <c r="H78" s="421">
        <f>((H68*G37)-(H68*((G37-H37)*(1+$AB$36))))*Faktory!$D$8</f>
        <v>1715791.2630456402</v>
      </c>
      <c r="I78" s="363">
        <f t="shared" ref="I78:I96" si="53">H78-G78</f>
        <v>-90304.80331819132</v>
      </c>
      <c r="J78" s="420">
        <f>J7*J37*Faktory!$D$8</f>
        <v>1158249.957221027</v>
      </c>
      <c r="K78" s="421">
        <f>((K68*J37)-(K68*((J37-K37)*(1+$AB$36))))*Faktory!$D$8</f>
        <v>940182.26028432185</v>
      </c>
      <c r="L78" s="363">
        <f t="shared" ref="L78:L96" si="54">K78-J78</f>
        <v>-218067.69693670515</v>
      </c>
      <c r="M78" s="420">
        <f>M7*M37*Faktory!$D$8</f>
        <v>0</v>
      </c>
      <c r="N78" s="421">
        <f>((N68*M37)-(N68*((M37-N37)*(1+$AB$36))))*Faktory!$D$8</f>
        <v>0</v>
      </c>
      <c r="O78" s="363">
        <f t="shared" ref="O78:O96" si="55">N78-M78</f>
        <v>0</v>
      </c>
      <c r="P78" s="419">
        <f>P7*P37*Faktory!$D$8</f>
        <v>1597743.9239768279</v>
      </c>
      <c r="Q78" s="420">
        <f>((Q68*P37)-(Q68*((P37-Q37)*(1+$AB$36))))*Faktory!$D$8</f>
        <v>1624372.9893764418</v>
      </c>
      <c r="R78" s="361">
        <f t="shared" ref="R78:R96" si="56">Q78-P78</f>
        <v>26629.06539961393</v>
      </c>
      <c r="S78" s="420">
        <f>S7*S37*Faktory!$D$8</f>
        <v>1128810.0414773948</v>
      </c>
      <c r="T78" s="420">
        <f>((T68*S37)-(T68*((S37-T37)*(1+$AB$36))))*Faktory!$D$8</f>
        <v>846607.53110804607</v>
      </c>
      <c r="U78" s="361">
        <f t="shared" ref="U78:U96" si="57">T78-S78</f>
        <v>-282202.51036934869</v>
      </c>
      <c r="V78" s="420">
        <f>V7*V37*Faktory!$D$8</f>
        <v>90550.716308597708</v>
      </c>
      <c r="W78" s="420">
        <f>((W68*V37)-(W68*((V37-W37)*(1+$AB$36))))*Faktory!$D$8</f>
        <v>52135.260904950192</v>
      </c>
      <c r="X78" s="361">
        <f t="shared" ref="X78:X96" si="58">W78-V78</f>
        <v>-38415.455403647517</v>
      </c>
      <c r="Y78" s="420">
        <f>Y7*Y37*Faktory!$D$8</f>
        <v>395898.86230804602</v>
      </c>
      <c r="Z78" s="421">
        <f>((Z68*Y37)-(Z68*((Y37-Z37)*(1+$AB$36))))*Faktory!$D$8</f>
        <v>296924.1467310345</v>
      </c>
      <c r="AA78" s="363">
        <f t="shared" ref="AA78:AA96" si="59">Z78-Y78</f>
        <v>-98974.715577011521</v>
      </c>
    </row>
    <row r="79" spans="1:28" ht="15.95">
      <c r="A79" s="720"/>
      <c r="B79" s="722"/>
      <c r="C79" s="409" t="s">
        <v>112</v>
      </c>
      <c r="D79" s="410">
        <f t="shared" si="50"/>
        <v>3213003.544070866</v>
      </c>
      <c r="E79" s="411">
        <f t="shared" si="51"/>
        <v>1845417.0243787281</v>
      </c>
      <c r="F79" s="412">
        <f t="shared" si="52"/>
        <v>-1367586.5196921383</v>
      </c>
      <c r="G79" s="420">
        <f>G8*G38*Faktory!$D$8</f>
        <v>1806096.0663638315</v>
      </c>
      <c r="H79" s="421">
        <f>((H69*G38)-(H69*((G38-H38)*(1+$AB$36))))*Faktory!$D$8</f>
        <v>1535181.6564092569</v>
      </c>
      <c r="I79" s="363">
        <f t="shared" si="53"/>
        <v>-270914.40995457466</v>
      </c>
      <c r="J79" s="420">
        <f>J8*J38*Faktory!$D$8</f>
        <v>1158249.957221027</v>
      </c>
      <c r="K79" s="421">
        <f>((K69*J38)-(K69*((J38-K38)*(1+$AB$36))))*Faktory!$D$8</f>
        <v>504046.8664109119</v>
      </c>
      <c r="L79" s="363">
        <f t="shared" si="54"/>
        <v>-654203.0908101151</v>
      </c>
      <c r="M79" s="420">
        <f>M8*M38*Faktory!$D$8</f>
        <v>0</v>
      </c>
      <c r="N79" s="421">
        <f>((N69*M38)-(N69*((M38-N38)*(1+$AB$36))))*Faktory!$D$8</f>
        <v>0</v>
      </c>
      <c r="O79" s="363">
        <f t="shared" si="55"/>
        <v>0</v>
      </c>
      <c r="P79" s="419">
        <f>P8*P38*Faktory!$D$8</f>
        <v>1597743.9239768279</v>
      </c>
      <c r="Q79" s="420">
        <f>((Q69*P38)-(Q69*((P38-Q38)*(1+$AB$36))))*Faktory!$D$8</f>
        <v>1431312.2652292417</v>
      </c>
      <c r="R79" s="361">
        <f t="shared" si="56"/>
        <v>-166431.65874758619</v>
      </c>
      <c r="S79" s="420">
        <f>S8*S38*Faktory!$D$8</f>
        <v>1128810.0414773948</v>
      </c>
      <c r="T79" s="420">
        <f>((T69*S38)-(T69*((S38-T38)*(1+$AB$36))))*Faktory!$D$8</f>
        <v>282202.51036934851</v>
      </c>
      <c r="U79" s="361">
        <f t="shared" si="57"/>
        <v>-846607.53110804618</v>
      </c>
      <c r="V79" s="420">
        <f>V8*V38*Faktory!$D$8</f>
        <v>90550.716308597708</v>
      </c>
      <c r="W79" s="420">
        <f>((W69*V38)-(W69*((V38-W38)*(1+$AB$36))))*Faktory!$D$8</f>
        <v>32927.533203126433</v>
      </c>
      <c r="X79" s="361">
        <f t="shared" si="58"/>
        <v>-57623.183105471275</v>
      </c>
      <c r="Y79" s="420">
        <f>Y8*Y38*Faktory!$D$8</f>
        <v>395898.86230804602</v>
      </c>
      <c r="Z79" s="421">
        <f>((Z69*Y38)-(Z69*((Y38-Z38)*(1+$AB$36))))*Faktory!$D$8</f>
        <v>98974.715577011506</v>
      </c>
      <c r="AA79" s="363">
        <f t="shared" si="59"/>
        <v>-296924.1467310345</v>
      </c>
    </row>
    <row r="80" spans="1:28" ht="15.95">
      <c r="A80" s="720"/>
      <c r="B80" s="722"/>
      <c r="C80" s="409" t="s">
        <v>113</v>
      </c>
      <c r="D80" s="410">
        <f t="shared" si="50"/>
        <v>3213003.544070866</v>
      </c>
      <c r="E80" s="411">
        <f t="shared" si="51"/>
        <v>1361816.2413567512</v>
      </c>
      <c r="F80" s="412">
        <f t="shared" si="52"/>
        <v>-1851187.3027141152</v>
      </c>
      <c r="G80" s="420">
        <f>G9*G39*Faktory!$D$8</f>
        <v>1806096.0663638315</v>
      </c>
      <c r="H80" s="421">
        <f>((H70*G39)-(H70*((G39-H39)*(1+$AB$36))))*Faktory!$D$8</f>
        <v>1444876.8530910653</v>
      </c>
      <c r="I80" s="363">
        <f t="shared" si="53"/>
        <v>-361219.21327276621</v>
      </c>
      <c r="J80" s="420">
        <f>J9*J39*Faktory!$D$8</f>
        <v>1158249.957221027</v>
      </c>
      <c r="K80" s="421">
        <f>((K70*J39)-(K70*((J39-K39)*(1+$AB$36))))*Faktory!$D$8</f>
        <v>285979.16947420692</v>
      </c>
      <c r="L80" s="363">
        <f t="shared" si="54"/>
        <v>-872270.78774682013</v>
      </c>
      <c r="M80" s="420">
        <f>M9*M39*Faktory!$D$8</f>
        <v>0</v>
      </c>
      <c r="N80" s="421">
        <f>((N70*M39)-(N70*((M39-N39)*(1+$AB$36))))*Faktory!$D$8</f>
        <v>0</v>
      </c>
      <c r="O80" s="363">
        <f t="shared" si="55"/>
        <v>0</v>
      </c>
      <c r="P80" s="419">
        <f>P9*P39*Faktory!$D$8</f>
        <v>1597743.9239768279</v>
      </c>
      <c r="Q80" s="420">
        <f>((Q70*P39)-(Q70*((P39-Q39)*(1+$AB$36))))*Faktory!$D$8</f>
        <v>1348096.4358554485</v>
      </c>
      <c r="R80" s="361">
        <f t="shared" si="56"/>
        <v>-249647.4881213794</v>
      </c>
      <c r="S80" s="420">
        <f>S9*S39*Faktory!$D$8</f>
        <v>1128810.0414773948</v>
      </c>
      <c r="T80" s="420">
        <f>((T70*S39)-(T70*((S39-T39)*(1+$AB$36))))*Faktory!$D$8</f>
        <v>0</v>
      </c>
      <c r="U80" s="361">
        <f t="shared" si="57"/>
        <v>-1128810.0414773948</v>
      </c>
      <c r="V80" s="420">
        <f>V9*V39*Faktory!$D$8</f>
        <v>90550.716308597708</v>
      </c>
      <c r="W80" s="420">
        <f>((W70*V39)-(W70*((V39-W39)*(1+$AB$36))))*Faktory!$D$8</f>
        <v>13719.805501302679</v>
      </c>
      <c r="X80" s="361">
        <f t="shared" si="58"/>
        <v>-76830.910807295033</v>
      </c>
      <c r="Y80" s="420">
        <f>Y9*Y39*Faktory!$D$8</f>
        <v>395898.86230804602</v>
      </c>
      <c r="Z80" s="421">
        <f>((Z70*Y39)-(Z70*((Y39-Z39)*(1+$AB$36))))*Faktory!$D$8</f>
        <v>0</v>
      </c>
      <c r="AA80" s="363">
        <f t="shared" si="59"/>
        <v>-395898.86230804602</v>
      </c>
    </row>
    <row r="81" spans="1:27" ht="15.95">
      <c r="A81" s="720"/>
      <c r="B81" s="722"/>
      <c r="C81" s="409" t="s">
        <v>114</v>
      </c>
      <c r="D81" s="410">
        <f t="shared" si="50"/>
        <v>3213003.544070866</v>
      </c>
      <c r="E81" s="411">
        <f t="shared" si="51"/>
        <v>1278600.4119829582</v>
      </c>
      <c r="F81" s="412">
        <f t="shared" si="52"/>
        <v>-1934403.1320879082</v>
      </c>
      <c r="G81" s="420">
        <f>G10*G40*Faktory!$D$8</f>
        <v>1806096.0663638315</v>
      </c>
      <c r="H81" s="421">
        <f>((H71*G40)-(H71*((G40-H40)*(1+$AB$36))))*Faktory!$D$8</f>
        <v>1444876.8530910653</v>
      </c>
      <c r="I81" s="363">
        <f t="shared" si="53"/>
        <v>-361219.21327276621</v>
      </c>
      <c r="J81" s="420">
        <f>J10*J40*Faktory!$D$8</f>
        <v>1158249.957221027</v>
      </c>
      <c r="K81" s="421">
        <f>((K71*J40)-(K71*((J40-K40)*(1+$AB$36))))*Faktory!$D$8</f>
        <v>285979.16947420692</v>
      </c>
      <c r="L81" s="363">
        <f t="shared" si="54"/>
        <v>-872270.78774682013</v>
      </c>
      <c r="M81" s="420">
        <f>M10*M40*Faktory!$D$8</f>
        <v>0</v>
      </c>
      <c r="N81" s="421">
        <f>((N71*M40)-(N71*((M40-N40)*(1+$AB$36))))*Faktory!$D$8</f>
        <v>0</v>
      </c>
      <c r="O81" s="363">
        <f t="shared" si="55"/>
        <v>0</v>
      </c>
      <c r="P81" s="419">
        <f>P10*P40*Faktory!$D$8</f>
        <v>1597743.9239768279</v>
      </c>
      <c r="Q81" s="420">
        <f>((Q71*P40)-(Q71*((P40-Q40)*(1+$AB$36))))*Faktory!$D$8</f>
        <v>1264880.6064816555</v>
      </c>
      <c r="R81" s="361">
        <f t="shared" si="56"/>
        <v>-332863.31749517238</v>
      </c>
      <c r="S81" s="420">
        <f>S10*S40*Faktory!$D$8</f>
        <v>1128810.0414773948</v>
      </c>
      <c r="T81" s="420">
        <f>((T71*S40)-(T71*((S40-T40)*(1+$AB$36))))*Faktory!$D$8</f>
        <v>0</v>
      </c>
      <c r="U81" s="361">
        <f t="shared" si="57"/>
        <v>-1128810.0414773948</v>
      </c>
      <c r="V81" s="420">
        <f>V10*V40*Faktory!$D$8</f>
        <v>90550.716308597708</v>
      </c>
      <c r="W81" s="420">
        <f>((W71*V40)-(W71*((V40-W40)*(1+$AB$36))))*Faktory!$D$8</f>
        <v>13719.805501302679</v>
      </c>
      <c r="X81" s="361">
        <f t="shared" si="58"/>
        <v>-76830.910807295033</v>
      </c>
      <c r="Y81" s="420">
        <f>Y10*Y40*Faktory!$D$8</f>
        <v>395898.86230804602</v>
      </c>
      <c r="Z81" s="421">
        <f>((Z71*Y40)-(Z71*((Y40-Z40)*(1+$AB$36))))*Faktory!$D$8</f>
        <v>0</v>
      </c>
      <c r="AA81" s="363">
        <f t="shared" si="59"/>
        <v>-395898.86230804602</v>
      </c>
    </row>
    <row r="82" spans="1:27" ht="15.95">
      <c r="A82" s="720"/>
      <c r="B82" s="722"/>
      <c r="C82" s="409" t="s">
        <v>115</v>
      </c>
      <c r="D82" s="410">
        <f t="shared" si="50"/>
        <v>3213003.544070866</v>
      </c>
      <c r="E82" s="411">
        <f t="shared" si="51"/>
        <v>1278600.4119829582</v>
      </c>
      <c r="F82" s="412">
        <f t="shared" si="52"/>
        <v>-1934403.1320879082</v>
      </c>
      <c r="G82" s="420">
        <f>G11*G41*Faktory!$D$8</f>
        <v>1806096.0663638315</v>
      </c>
      <c r="H82" s="421">
        <f>((H72*G41)-(H72*((G41-H41)*(1+$AB$36))))*Faktory!$D$8</f>
        <v>1444876.8530910653</v>
      </c>
      <c r="I82" s="363">
        <f t="shared" si="53"/>
        <v>-361219.21327276621</v>
      </c>
      <c r="J82" s="420">
        <f>J11*J41*Faktory!$D$8</f>
        <v>1158249.957221027</v>
      </c>
      <c r="K82" s="421">
        <f>((K72*J41)-(K72*((J41-K41)*(1+$AB$36))))*Faktory!$D$8</f>
        <v>285979.16947420692</v>
      </c>
      <c r="L82" s="363">
        <f t="shared" si="54"/>
        <v>-872270.78774682013</v>
      </c>
      <c r="M82" s="420">
        <f>M11*M41*Faktory!$D$8</f>
        <v>0</v>
      </c>
      <c r="N82" s="421">
        <f>((N72*M41)-(N72*((M41-N41)*(1+$AB$36))))*Faktory!$D$8</f>
        <v>0</v>
      </c>
      <c r="O82" s="363">
        <f t="shared" si="55"/>
        <v>0</v>
      </c>
      <c r="P82" s="419">
        <f>P11*P41*Faktory!$D$8</f>
        <v>1597743.9239768279</v>
      </c>
      <c r="Q82" s="420">
        <f>((Q72*P41)-(Q72*((P41-Q41)*(1+$AB$36))))*Faktory!$D$8</f>
        <v>1264880.6064816555</v>
      </c>
      <c r="R82" s="361">
        <f t="shared" si="56"/>
        <v>-332863.31749517238</v>
      </c>
      <c r="S82" s="420">
        <f>S11*S41*Faktory!$D$8</f>
        <v>1128810.0414773948</v>
      </c>
      <c r="T82" s="420">
        <f>((T72*S41)-(T72*((S41-T41)*(1+$AB$36))))*Faktory!$D$8</f>
        <v>0</v>
      </c>
      <c r="U82" s="361">
        <f t="shared" si="57"/>
        <v>-1128810.0414773948</v>
      </c>
      <c r="V82" s="420">
        <f>V11*V41*Faktory!$D$8</f>
        <v>90550.716308597708</v>
      </c>
      <c r="W82" s="420">
        <f>((W72*V41)-(W72*((V41-W41)*(1+$AB$36))))*Faktory!$D$8</f>
        <v>13719.805501302679</v>
      </c>
      <c r="X82" s="361">
        <f t="shared" si="58"/>
        <v>-76830.910807295033</v>
      </c>
      <c r="Y82" s="420">
        <f>Y11*Y41*Faktory!$D$8</f>
        <v>395898.86230804602</v>
      </c>
      <c r="Z82" s="421">
        <f>((Z72*Y41)-(Z72*((Y41-Z41)*(1+$AB$36))))*Faktory!$D$8</f>
        <v>0</v>
      </c>
      <c r="AA82" s="363">
        <f t="shared" si="59"/>
        <v>-395898.86230804602</v>
      </c>
    </row>
    <row r="83" spans="1:27" ht="15.95">
      <c r="A83" s="720"/>
      <c r="B83" s="722"/>
      <c r="C83" s="409" t="s">
        <v>116</v>
      </c>
      <c r="D83" s="410">
        <f t="shared" si="50"/>
        <v>3213003.544070866</v>
      </c>
      <c r="E83" s="411">
        <f t="shared" si="51"/>
        <v>1278600.4119829582</v>
      </c>
      <c r="F83" s="412">
        <f t="shared" si="52"/>
        <v>-1934403.1320879082</v>
      </c>
      <c r="G83" s="420">
        <f>G12*G42*Faktory!$D$8</f>
        <v>1806096.0663638315</v>
      </c>
      <c r="H83" s="421">
        <f>((H73*G42)-(H73*((G42-H42)*(1+$AB$36))))*Faktory!$D$8</f>
        <v>1444876.8530910653</v>
      </c>
      <c r="I83" s="363">
        <f t="shared" si="53"/>
        <v>-361219.21327276621</v>
      </c>
      <c r="J83" s="420">
        <f>J12*J42*Faktory!$D$8</f>
        <v>1158249.957221027</v>
      </c>
      <c r="K83" s="421">
        <f>((K73*J42)-(K73*((J42-K42)*(1+$AB$36))))*Faktory!$D$8</f>
        <v>285979.16947420692</v>
      </c>
      <c r="L83" s="363">
        <f t="shared" si="54"/>
        <v>-872270.78774682013</v>
      </c>
      <c r="M83" s="420">
        <f>M12*M42*Faktory!$D$8</f>
        <v>0</v>
      </c>
      <c r="N83" s="421">
        <f>((N73*M42)-(N73*((M42-N42)*(1+$AB$36))))*Faktory!$D$8</f>
        <v>0</v>
      </c>
      <c r="O83" s="363">
        <f t="shared" si="55"/>
        <v>0</v>
      </c>
      <c r="P83" s="419">
        <f>P12*P42*Faktory!$D$8</f>
        <v>1597743.9239768279</v>
      </c>
      <c r="Q83" s="420">
        <f>((Q73*P42)-(Q73*((P42-Q42)*(1+$AB$36))))*Faktory!$D$8</f>
        <v>1264880.6064816555</v>
      </c>
      <c r="R83" s="361">
        <f t="shared" si="56"/>
        <v>-332863.31749517238</v>
      </c>
      <c r="S83" s="420">
        <f>S12*S42*Faktory!$D$8</f>
        <v>1128810.0414773948</v>
      </c>
      <c r="T83" s="420">
        <f>((T73*S42)-(T73*((S42-T42)*(1+$AB$36))))*Faktory!$D$8</f>
        <v>0</v>
      </c>
      <c r="U83" s="361">
        <f t="shared" si="57"/>
        <v>-1128810.0414773948</v>
      </c>
      <c r="V83" s="420">
        <f>V12*V42*Faktory!$D$8</f>
        <v>90550.716308597708</v>
      </c>
      <c r="W83" s="420">
        <f>((W73*V42)-(W73*((V42-W42)*(1+$AB$36))))*Faktory!$D$8</f>
        <v>13719.805501302679</v>
      </c>
      <c r="X83" s="361">
        <f t="shared" si="58"/>
        <v>-76830.910807295033</v>
      </c>
      <c r="Y83" s="420">
        <f>Y12*Y42*Faktory!$D$8</f>
        <v>395898.86230804602</v>
      </c>
      <c r="Z83" s="421">
        <f>((Z73*Y42)-(Z73*((Y42-Z42)*(1+$AB$36))))*Faktory!$D$8</f>
        <v>0</v>
      </c>
      <c r="AA83" s="363">
        <f t="shared" si="59"/>
        <v>-395898.86230804602</v>
      </c>
    </row>
    <row r="84" spans="1:27" ht="15.95">
      <c r="A84" s="720"/>
      <c r="B84" s="722"/>
      <c r="C84" s="409" t="s">
        <v>117</v>
      </c>
      <c r="D84" s="410">
        <f t="shared" si="50"/>
        <v>3213003.544070866</v>
      </c>
      <c r="E84" s="411">
        <f t="shared" si="51"/>
        <v>1278600.4119829582</v>
      </c>
      <c r="F84" s="412">
        <f t="shared" si="52"/>
        <v>-1934403.1320879082</v>
      </c>
      <c r="G84" s="420">
        <f>G13*G43*Faktory!$D$8</f>
        <v>1806096.0663638315</v>
      </c>
      <c r="H84" s="421">
        <f>((H74*G43)-(H74*((G43-H43)*(1+$AB$36))))*Faktory!$D$8</f>
        <v>1444876.8530910653</v>
      </c>
      <c r="I84" s="363">
        <f t="shared" si="53"/>
        <v>-361219.21327276621</v>
      </c>
      <c r="J84" s="420">
        <f>J13*J43*Faktory!$D$8</f>
        <v>1158249.957221027</v>
      </c>
      <c r="K84" s="421">
        <f>((K74*J43)-(K74*((J43-K43)*(1+$AB$36))))*Faktory!$D$8</f>
        <v>285979.16947420692</v>
      </c>
      <c r="L84" s="363">
        <f t="shared" si="54"/>
        <v>-872270.78774682013</v>
      </c>
      <c r="M84" s="420">
        <f>M13*M43*Faktory!$D$8</f>
        <v>0</v>
      </c>
      <c r="N84" s="421">
        <f>((N74*M43)-(N74*((M43-N43)*(1+$AB$36))))*Faktory!$D$8</f>
        <v>0</v>
      </c>
      <c r="O84" s="363">
        <f t="shared" si="55"/>
        <v>0</v>
      </c>
      <c r="P84" s="419">
        <f>P13*P43*Faktory!$D$8</f>
        <v>1597743.9239768279</v>
      </c>
      <c r="Q84" s="420">
        <f>((Q74*P43)-(Q74*((P43-Q43)*(1+$AB$36))))*Faktory!$D$8</f>
        <v>1264880.6064816555</v>
      </c>
      <c r="R84" s="361">
        <f t="shared" si="56"/>
        <v>-332863.31749517238</v>
      </c>
      <c r="S84" s="420">
        <f>S13*S43*Faktory!$D$8</f>
        <v>1128810.0414773948</v>
      </c>
      <c r="T84" s="420">
        <f>((T74*S43)-(T74*((S43-T43)*(1+$AB$36))))*Faktory!$D$8</f>
        <v>0</v>
      </c>
      <c r="U84" s="361">
        <f t="shared" si="57"/>
        <v>-1128810.0414773948</v>
      </c>
      <c r="V84" s="420">
        <f>V13*V43*Faktory!$D$8</f>
        <v>90550.716308597708</v>
      </c>
      <c r="W84" s="420">
        <f>((W74*V43)-(W74*((V43-W43)*(1+$AB$36))))*Faktory!$D$8</f>
        <v>13719.805501302679</v>
      </c>
      <c r="X84" s="361">
        <f t="shared" si="58"/>
        <v>-76830.910807295033</v>
      </c>
      <c r="Y84" s="420">
        <f>Y13*Y43*Faktory!$D$8</f>
        <v>395898.86230804602</v>
      </c>
      <c r="Z84" s="421">
        <f>((Z74*Y43)-(Z74*((Y43-Z43)*(1+$AB$36))))*Faktory!$D$8</f>
        <v>0</v>
      </c>
      <c r="AA84" s="363">
        <f t="shared" si="59"/>
        <v>-395898.86230804602</v>
      </c>
    </row>
    <row r="85" spans="1:27" ht="15.95">
      <c r="A85" s="720"/>
      <c r="B85" s="722"/>
      <c r="C85" s="409" t="s">
        <v>118</v>
      </c>
      <c r="D85" s="410">
        <f t="shared" si="50"/>
        <v>3213003.544070866</v>
      </c>
      <c r="E85" s="411">
        <f t="shared" si="51"/>
        <v>1278600.4119829582</v>
      </c>
      <c r="F85" s="412">
        <f t="shared" si="52"/>
        <v>-1934403.1320879082</v>
      </c>
      <c r="G85" s="420">
        <f>G14*G44*Faktory!$D$8</f>
        <v>1806096.0663638315</v>
      </c>
      <c r="H85" s="421">
        <f>((H75*G44)-(H75*((G44-H44)*(1+$AB$36))))*Faktory!$D$8</f>
        <v>1444876.8530910653</v>
      </c>
      <c r="I85" s="363">
        <f t="shared" si="53"/>
        <v>-361219.21327276621</v>
      </c>
      <c r="J85" s="420">
        <f>J14*J44*Faktory!$D$8</f>
        <v>1158249.957221027</v>
      </c>
      <c r="K85" s="421">
        <f>((K75*J44)-(K75*((J44-K44)*(1+$AB$36))))*Faktory!$D$8</f>
        <v>285979.16947420692</v>
      </c>
      <c r="L85" s="363">
        <f t="shared" si="54"/>
        <v>-872270.78774682013</v>
      </c>
      <c r="M85" s="420">
        <f>M14*M44*Faktory!$D$8</f>
        <v>0</v>
      </c>
      <c r="N85" s="421">
        <f>((N75*M44)-(N75*((M44-N44)*(1+$AB$36))))*Faktory!$D$8</f>
        <v>0</v>
      </c>
      <c r="O85" s="363">
        <f t="shared" si="55"/>
        <v>0</v>
      </c>
      <c r="P85" s="419">
        <f>P14*P44*Faktory!$D$8</f>
        <v>1597743.9239768279</v>
      </c>
      <c r="Q85" s="420">
        <f>((Q75*P44)-(Q75*((P44-Q44)*(1+$AB$36))))*Faktory!$D$8</f>
        <v>1264880.6064816555</v>
      </c>
      <c r="R85" s="361">
        <f t="shared" si="56"/>
        <v>-332863.31749517238</v>
      </c>
      <c r="S85" s="420">
        <f>S14*S44*Faktory!$D$8</f>
        <v>1128810.0414773948</v>
      </c>
      <c r="T85" s="420">
        <f>((T75*S44)-(T75*((S44-T44)*(1+$AB$36))))*Faktory!$D$8</f>
        <v>0</v>
      </c>
      <c r="U85" s="361">
        <f t="shared" si="57"/>
        <v>-1128810.0414773948</v>
      </c>
      <c r="V85" s="420">
        <f>V14*V44*Faktory!$D$8</f>
        <v>90550.716308597708</v>
      </c>
      <c r="W85" s="420">
        <f>((W75*V44)-(W75*((V44-W44)*(1+$AB$36))))*Faktory!$D$8</f>
        <v>13719.805501302679</v>
      </c>
      <c r="X85" s="361">
        <f t="shared" si="58"/>
        <v>-76830.910807295033</v>
      </c>
      <c r="Y85" s="420">
        <f>Y14*Y44*Faktory!$D$8</f>
        <v>395898.86230804602</v>
      </c>
      <c r="Z85" s="421">
        <f>((Z75*Y44)-(Z75*((Y44-Z44)*(1+$AB$36))))*Faktory!$D$8</f>
        <v>0</v>
      </c>
      <c r="AA85" s="363">
        <f t="shared" si="59"/>
        <v>-395898.86230804602</v>
      </c>
    </row>
    <row r="86" spans="1:27" ht="15.95">
      <c r="A86" s="721"/>
      <c r="B86" s="723"/>
      <c r="C86" s="422" t="s">
        <v>119</v>
      </c>
      <c r="D86" s="423">
        <f t="shared" si="50"/>
        <v>3213003.544070866</v>
      </c>
      <c r="E86" s="424">
        <f t="shared" si="51"/>
        <v>1278600.4119829582</v>
      </c>
      <c r="F86" s="425">
        <f t="shared" si="52"/>
        <v>-1934403.1320879082</v>
      </c>
      <c r="G86" s="427">
        <f>G15*G45*Faktory!$D$8</f>
        <v>1806096.0663638315</v>
      </c>
      <c r="H86" s="428">
        <f>((H76*G45)-(H76*((G45-H45)*(1+$AB$36))))*Faktory!$D$8</f>
        <v>1444876.8530910653</v>
      </c>
      <c r="I86" s="372">
        <f t="shared" si="53"/>
        <v>-361219.21327276621</v>
      </c>
      <c r="J86" s="427">
        <f>J15*J45*Faktory!$D$8</f>
        <v>1158249.957221027</v>
      </c>
      <c r="K86" s="428">
        <f>((K76*J45)-(K76*((J45-K45)*(1+$AB$36))))*Faktory!$D$8</f>
        <v>285979.16947420692</v>
      </c>
      <c r="L86" s="372">
        <f t="shared" si="54"/>
        <v>-872270.78774682013</v>
      </c>
      <c r="M86" s="427">
        <f>M15*M45*Faktory!$D$8</f>
        <v>0</v>
      </c>
      <c r="N86" s="428">
        <f>((N76*M45)-(N76*((M45-N45)*(1+$AB$36))))*Faktory!$D$8</f>
        <v>0</v>
      </c>
      <c r="O86" s="372">
        <f t="shared" si="55"/>
        <v>0</v>
      </c>
      <c r="P86" s="426">
        <f>P15*P45*Faktory!$D$8</f>
        <v>1597743.9239768279</v>
      </c>
      <c r="Q86" s="427">
        <f>((Q76*P45)-(Q76*((P45-Q45)*(1+$AB$36))))*Faktory!$D$8</f>
        <v>1264880.6064816555</v>
      </c>
      <c r="R86" s="370">
        <f t="shared" si="56"/>
        <v>-332863.31749517238</v>
      </c>
      <c r="S86" s="427">
        <f>S15*S45*Faktory!$D$8</f>
        <v>1128810.0414773948</v>
      </c>
      <c r="T86" s="427">
        <f>((T76*S45)-(T76*((S45-T45)*(1+$AB$36))))*Faktory!$D$8</f>
        <v>0</v>
      </c>
      <c r="U86" s="370">
        <f t="shared" si="57"/>
        <v>-1128810.0414773948</v>
      </c>
      <c r="V86" s="427">
        <f>V15*V45*Faktory!$D$8</f>
        <v>90550.716308597708</v>
      </c>
      <c r="W86" s="427">
        <f>((W76*V45)-(W76*((V45-W45)*(1+$AB$36))))*Faktory!$D$8</f>
        <v>13719.805501302679</v>
      </c>
      <c r="X86" s="370">
        <f t="shared" si="58"/>
        <v>-76830.910807295033</v>
      </c>
      <c r="Y86" s="427">
        <f>Y15*Y45*Faktory!$D$8</f>
        <v>395898.86230804602</v>
      </c>
      <c r="Z86" s="428">
        <f>((Z76*Y45)-(Z76*((Y45-Z45)*(1+$AB$36))))*Faktory!$D$8</f>
        <v>0</v>
      </c>
      <c r="AA86" s="372">
        <f t="shared" si="59"/>
        <v>-395898.86230804602</v>
      </c>
    </row>
    <row r="87" spans="1:27" ht="15.95">
      <c r="A87" s="720" t="s">
        <v>166</v>
      </c>
      <c r="B87" s="722" t="s">
        <v>167</v>
      </c>
      <c r="C87" s="409" t="s">
        <v>110</v>
      </c>
      <c r="D87" s="433">
        <f t="shared" si="50"/>
        <v>150.62853544973547</v>
      </c>
      <c r="E87" s="434">
        <f t="shared" si="51"/>
        <v>150.62853544973547</v>
      </c>
      <c r="F87" s="435">
        <f t="shared" si="52"/>
        <v>0</v>
      </c>
      <c r="G87" s="442">
        <f t="shared" ref="G87:H88" si="60">(G6*G36)/12/21/7.5</f>
        <v>83.975449735449729</v>
      </c>
      <c r="H87" s="444">
        <f t="shared" si="60"/>
        <v>83.975449735449729</v>
      </c>
      <c r="I87" s="445">
        <f t="shared" ref="I87" si="61">H87-G87</f>
        <v>0</v>
      </c>
      <c r="J87" s="437">
        <f t="shared" ref="J87:K87" si="62">(J6*J36)/12/21/7.5</f>
        <v>53.853481481481488</v>
      </c>
      <c r="K87" s="439">
        <f t="shared" si="62"/>
        <v>53.853481481481488</v>
      </c>
      <c r="L87" s="440">
        <f t="shared" si="54"/>
        <v>0</v>
      </c>
      <c r="M87" s="437">
        <f>(M6*M36)/12/21/7.5</f>
        <v>0</v>
      </c>
      <c r="N87" s="439">
        <f>(N6*N36)/12/21/7.5</f>
        <v>0</v>
      </c>
      <c r="O87" s="440">
        <f t="shared" si="55"/>
        <v>0</v>
      </c>
      <c r="P87" s="436">
        <f t="shared" ref="P87:Q96" si="63">(P6*P36)/12/21/7.5</f>
        <v>75.526133333333334</v>
      </c>
      <c r="Q87" s="437">
        <f t="shared" si="63"/>
        <v>75.526133333333334</v>
      </c>
      <c r="R87" s="438">
        <f t="shared" si="56"/>
        <v>0</v>
      </c>
      <c r="S87" s="437">
        <f>(S6*S36)/12/21/7.5</f>
        <v>52.484656084656088</v>
      </c>
      <c r="T87" s="437">
        <f>(T6*T36)/12/21/7.5</f>
        <v>52.484656084656088</v>
      </c>
      <c r="U87" s="438">
        <f t="shared" si="57"/>
        <v>0</v>
      </c>
      <c r="V87" s="437">
        <f t="shared" ref="V87:W96" si="64">(V6*V36)/12/21/7.5</f>
        <v>4.2102063492063486</v>
      </c>
      <c r="W87" s="437">
        <f t="shared" si="64"/>
        <v>4.2102063492063486</v>
      </c>
      <c r="X87" s="438">
        <f t="shared" si="58"/>
        <v>0</v>
      </c>
      <c r="Y87" s="437">
        <f t="shared" ref="Y87:Z96" si="65">(Y6*Y36)/12/21/7.5</f>
        <v>18.407539682539682</v>
      </c>
      <c r="Z87" s="439">
        <f t="shared" si="65"/>
        <v>18.407539682539682</v>
      </c>
      <c r="AA87" s="440">
        <f t="shared" si="59"/>
        <v>0</v>
      </c>
    </row>
    <row r="88" spans="1:27" ht="15.95">
      <c r="A88" s="720"/>
      <c r="B88" s="722"/>
      <c r="C88" s="409" t="s">
        <v>111</v>
      </c>
      <c r="D88" s="433">
        <f t="shared" si="50"/>
        <v>149.39040211640213</v>
      </c>
      <c r="E88" s="434">
        <f t="shared" si="51"/>
        <v>131.11933835978837</v>
      </c>
      <c r="F88" s="435">
        <f t="shared" si="52"/>
        <v>-18.271063756613763</v>
      </c>
      <c r="G88" s="442">
        <f t="shared" si="60"/>
        <v>83.975449735449729</v>
      </c>
      <c r="H88" s="444">
        <f t="shared" si="60"/>
        <v>79.77667724867726</v>
      </c>
      <c r="I88" s="445">
        <f t="shared" si="53"/>
        <v>-4.1987724867724694</v>
      </c>
      <c r="J88" s="442">
        <f t="shared" ref="J88:K88" si="66">(J7*J37)/12/21/7.5</f>
        <v>53.853481481481488</v>
      </c>
      <c r="K88" s="444">
        <f t="shared" si="66"/>
        <v>43.714301587301591</v>
      </c>
      <c r="L88" s="445">
        <f t="shared" si="54"/>
        <v>-10.139179894179897</v>
      </c>
      <c r="M88" s="442">
        <f t="shared" ref="M88:N88" si="67">(M7*M37)/12/21/7.5</f>
        <v>0</v>
      </c>
      <c r="N88" s="444">
        <f t="shared" si="67"/>
        <v>0</v>
      </c>
      <c r="O88" s="445">
        <f t="shared" si="55"/>
        <v>0</v>
      </c>
      <c r="P88" s="441">
        <f t="shared" si="63"/>
        <v>74.288000000000011</v>
      </c>
      <c r="Q88" s="442">
        <f t="shared" si="63"/>
        <v>75.526133333333334</v>
      </c>
      <c r="R88" s="443">
        <f t="shared" si="56"/>
        <v>1.2381333333333231</v>
      </c>
      <c r="S88" s="442">
        <f t="shared" ref="S88:T96" si="68">(S7*S37)/12/21/7.5</f>
        <v>52.484656084656088</v>
      </c>
      <c r="T88" s="442">
        <f t="shared" si="68"/>
        <v>39.363492063492068</v>
      </c>
      <c r="U88" s="443">
        <f t="shared" si="57"/>
        <v>-13.12116402116402</v>
      </c>
      <c r="V88" s="442">
        <f t="shared" si="64"/>
        <v>4.2102063492063486</v>
      </c>
      <c r="W88" s="442">
        <f t="shared" si="64"/>
        <v>2.4240582010582012</v>
      </c>
      <c r="X88" s="443">
        <f t="shared" si="58"/>
        <v>-1.7861481481481474</v>
      </c>
      <c r="Y88" s="442">
        <f t="shared" si="65"/>
        <v>18.407539682539682</v>
      </c>
      <c r="Z88" s="444">
        <f t="shared" si="65"/>
        <v>13.80565476190476</v>
      </c>
      <c r="AA88" s="445">
        <f t="shared" si="59"/>
        <v>-4.6018849206349213</v>
      </c>
    </row>
    <row r="89" spans="1:27" ht="15.95">
      <c r="A89" s="720"/>
      <c r="B89" s="722"/>
      <c r="C89" s="409" t="s">
        <v>112</v>
      </c>
      <c r="D89" s="433">
        <f t="shared" si="50"/>
        <v>149.39040211640213</v>
      </c>
      <c r="E89" s="434">
        <f t="shared" si="51"/>
        <v>85.803699735449726</v>
      </c>
      <c r="F89" s="435">
        <f t="shared" si="52"/>
        <v>-63.586702380952396</v>
      </c>
      <c r="G89" s="442">
        <f t="shared" ref="G89:H89" si="69">(G8*G38)/12/21/7.5</f>
        <v>83.975449735449729</v>
      </c>
      <c r="H89" s="444">
        <f t="shared" si="69"/>
        <v>71.379132275132264</v>
      </c>
      <c r="I89" s="445">
        <f t="shared" si="53"/>
        <v>-12.596317460317465</v>
      </c>
      <c r="J89" s="442">
        <f t="shared" ref="J89:K89" si="70">(J8*J38)/12/21/7.5</f>
        <v>53.853481481481488</v>
      </c>
      <c r="K89" s="444">
        <f t="shared" si="70"/>
        <v>23.435941798941801</v>
      </c>
      <c r="L89" s="445">
        <f t="shared" si="54"/>
        <v>-30.417539682539687</v>
      </c>
      <c r="M89" s="442">
        <f t="shared" ref="M89:N89" si="71">(M8*M38)/12/21/7.5</f>
        <v>0</v>
      </c>
      <c r="N89" s="444">
        <f t="shared" si="71"/>
        <v>0</v>
      </c>
      <c r="O89" s="445">
        <f t="shared" si="55"/>
        <v>0</v>
      </c>
      <c r="P89" s="441">
        <f t="shared" si="63"/>
        <v>74.288000000000011</v>
      </c>
      <c r="Q89" s="442">
        <f t="shared" si="63"/>
        <v>66.549666666666667</v>
      </c>
      <c r="R89" s="443">
        <f t="shared" si="56"/>
        <v>-7.7383333333333439</v>
      </c>
      <c r="S89" s="442">
        <f t="shared" si="68"/>
        <v>52.484656084656088</v>
      </c>
      <c r="T89" s="442">
        <f t="shared" si="68"/>
        <v>13.121164021164022</v>
      </c>
      <c r="U89" s="443">
        <f t="shared" si="57"/>
        <v>-39.363492063492068</v>
      </c>
      <c r="V89" s="442">
        <f t="shared" si="64"/>
        <v>4.2102063492063486</v>
      </c>
      <c r="W89" s="442">
        <f t="shared" si="64"/>
        <v>1.5309841269841271</v>
      </c>
      <c r="X89" s="443">
        <f t="shared" si="58"/>
        <v>-2.6792222222222213</v>
      </c>
      <c r="Y89" s="442">
        <f t="shared" si="65"/>
        <v>18.407539682539682</v>
      </c>
      <c r="Z89" s="444">
        <f t="shared" si="65"/>
        <v>4.6018849206349204</v>
      </c>
      <c r="AA89" s="445">
        <f t="shared" si="59"/>
        <v>-13.805654761904762</v>
      </c>
    </row>
    <row r="90" spans="1:27" ht="15.95">
      <c r="A90" s="720"/>
      <c r="B90" s="722"/>
      <c r="C90" s="409" t="s">
        <v>113</v>
      </c>
      <c r="D90" s="433">
        <f t="shared" si="50"/>
        <v>149.39040211640213</v>
      </c>
      <c r="E90" s="434">
        <f t="shared" si="51"/>
        <v>63.31841005291006</v>
      </c>
      <c r="F90" s="435">
        <f t="shared" si="52"/>
        <v>-86.071992063492075</v>
      </c>
      <c r="G90" s="442">
        <f t="shared" ref="G90:H90" si="72">(G9*G39)/12/21/7.5</f>
        <v>83.975449735449729</v>
      </c>
      <c r="H90" s="444">
        <f t="shared" si="72"/>
        <v>67.180359788359794</v>
      </c>
      <c r="I90" s="445">
        <f t="shared" si="53"/>
        <v>-16.795089947089934</v>
      </c>
      <c r="J90" s="442">
        <f t="shared" ref="J90:K90" si="73">(J9*J39)/12/21/7.5</f>
        <v>53.853481481481488</v>
      </c>
      <c r="K90" s="444">
        <f t="shared" si="73"/>
        <v>13.296761904761906</v>
      </c>
      <c r="L90" s="445">
        <f t="shared" si="54"/>
        <v>-40.55671957671958</v>
      </c>
      <c r="M90" s="442">
        <f t="shared" ref="M90:N90" si="74">(M9*M39)/12/21/7.5</f>
        <v>0</v>
      </c>
      <c r="N90" s="444">
        <f t="shared" si="74"/>
        <v>0</v>
      </c>
      <c r="O90" s="445">
        <f t="shared" si="55"/>
        <v>0</v>
      </c>
      <c r="P90" s="441">
        <f t="shared" si="63"/>
        <v>74.288000000000011</v>
      </c>
      <c r="Q90" s="442">
        <f t="shared" si="63"/>
        <v>62.680500000000009</v>
      </c>
      <c r="R90" s="443">
        <f t="shared" si="56"/>
        <v>-11.607500000000002</v>
      </c>
      <c r="S90" s="442">
        <f t="shared" si="68"/>
        <v>52.484656084656088</v>
      </c>
      <c r="T90" s="442">
        <f t="shared" si="68"/>
        <v>0</v>
      </c>
      <c r="U90" s="443">
        <f t="shared" si="57"/>
        <v>-52.484656084656088</v>
      </c>
      <c r="V90" s="442">
        <f t="shared" si="64"/>
        <v>4.2102063492063486</v>
      </c>
      <c r="W90" s="442">
        <f t="shared" si="64"/>
        <v>0.63791005291005298</v>
      </c>
      <c r="X90" s="443">
        <f t="shared" si="58"/>
        <v>-3.5722962962962956</v>
      </c>
      <c r="Y90" s="442">
        <f t="shared" si="65"/>
        <v>18.407539682539682</v>
      </c>
      <c r="Z90" s="444">
        <f t="shared" si="65"/>
        <v>0</v>
      </c>
      <c r="AA90" s="445">
        <f t="shared" si="59"/>
        <v>-18.407539682539682</v>
      </c>
    </row>
    <row r="91" spans="1:27" ht="15.95">
      <c r="A91" s="720"/>
      <c r="B91" s="722"/>
      <c r="C91" s="409" t="s">
        <v>114</v>
      </c>
      <c r="D91" s="433">
        <f t="shared" si="50"/>
        <v>149.39040211640213</v>
      </c>
      <c r="E91" s="434">
        <f t="shared" si="51"/>
        <v>59.449243386243381</v>
      </c>
      <c r="F91" s="435">
        <f t="shared" si="52"/>
        <v>-89.941158730158747</v>
      </c>
      <c r="G91" s="442">
        <f t="shared" ref="G91:H91" si="75">(G10*G40)/12/21/7.5</f>
        <v>83.975449735449729</v>
      </c>
      <c r="H91" s="444">
        <f t="shared" si="75"/>
        <v>67.180359788359794</v>
      </c>
      <c r="I91" s="445">
        <f t="shared" si="53"/>
        <v>-16.795089947089934</v>
      </c>
      <c r="J91" s="442">
        <f t="shared" ref="J91:K91" si="76">(J10*J40)/12/21/7.5</f>
        <v>53.853481481481488</v>
      </c>
      <c r="K91" s="444">
        <f t="shared" si="76"/>
        <v>13.296761904761906</v>
      </c>
      <c r="L91" s="445">
        <f t="shared" si="54"/>
        <v>-40.55671957671958</v>
      </c>
      <c r="M91" s="442">
        <f t="shared" ref="M91:N91" si="77">(M10*M40)/12/21/7.5</f>
        <v>0</v>
      </c>
      <c r="N91" s="444">
        <f t="shared" si="77"/>
        <v>0</v>
      </c>
      <c r="O91" s="445">
        <f t="shared" si="55"/>
        <v>0</v>
      </c>
      <c r="P91" s="441">
        <f t="shared" si="63"/>
        <v>74.288000000000011</v>
      </c>
      <c r="Q91" s="442">
        <f t="shared" si="63"/>
        <v>58.81133333333333</v>
      </c>
      <c r="R91" s="443">
        <f t="shared" si="56"/>
        <v>-15.476666666666681</v>
      </c>
      <c r="S91" s="442">
        <f t="shared" si="68"/>
        <v>52.484656084656088</v>
      </c>
      <c r="T91" s="442">
        <f t="shared" si="68"/>
        <v>0</v>
      </c>
      <c r="U91" s="443">
        <f t="shared" si="57"/>
        <v>-52.484656084656088</v>
      </c>
      <c r="V91" s="442">
        <f t="shared" si="64"/>
        <v>4.2102063492063486</v>
      </c>
      <c r="W91" s="442">
        <f t="shared" si="64"/>
        <v>0.63791005291005298</v>
      </c>
      <c r="X91" s="443">
        <f t="shared" si="58"/>
        <v>-3.5722962962962956</v>
      </c>
      <c r="Y91" s="442">
        <f t="shared" si="65"/>
        <v>18.407539682539682</v>
      </c>
      <c r="Z91" s="444">
        <f t="shared" si="65"/>
        <v>0</v>
      </c>
      <c r="AA91" s="445">
        <f t="shared" si="59"/>
        <v>-18.407539682539682</v>
      </c>
    </row>
    <row r="92" spans="1:27" ht="15.95">
      <c r="A92" s="720"/>
      <c r="B92" s="722"/>
      <c r="C92" s="409" t="s">
        <v>115</v>
      </c>
      <c r="D92" s="433">
        <f t="shared" si="50"/>
        <v>149.39040211640213</v>
      </c>
      <c r="E92" s="434">
        <f t="shared" si="51"/>
        <v>59.449243386243381</v>
      </c>
      <c r="F92" s="435">
        <f t="shared" si="52"/>
        <v>-89.941158730158747</v>
      </c>
      <c r="G92" s="442">
        <f t="shared" ref="G92:H92" si="78">(G11*G41)/12/21/7.5</f>
        <v>83.975449735449729</v>
      </c>
      <c r="H92" s="444">
        <f t="shared" si="78"/>
        <v>67.180359788359794</v>
      </c>
      <c r="I92" s="445">
        <f t="shared" si="53"/>
        <v>-16.795089947089934</v>
      </c>
      <c r="J92" s="442">
        <f t="shared" ref="J92:K92" si="79">(J11*J41)/12/21/7.5</f>
        <v>53.853481481481488</v>
      </c>
      <c r="K92" s="444">
        <f t="shared" si="79"/>
        <v>13.296761904761906</v>
      </c>
      <c r="L92" s="445">
        <f t="shared" si="54"/>
        <v>-40.55671957671958</v>
      </c>
      <c r="M92" s="442">
        <f t="shared" ref="M92:N92" si="80">(M11*M41)/12/21/7.5</f>
        <v>0</v>
      </c>
      <c r="N92" s="444">
        <f t="shared" si="80"/>
        <v>0</v>
      </c>
      <c r="O92" s="445">
        <f t="shared" si="55"/>
        <v>0</v>
      </c>
      <c r="P92" s="441">
        <f t="shared" si="63"/>
        <v>74.288000000000011</v>
      </c>
      <c r="Q92" s="442">
        <f t="shared" si="63"/>
        <v>58.81133333333333</v>
      </c>
      <c r="R92" s="443">
        <f t="shared" si="56"/>
        <v>-15.476666666666681</v>
      </c>
      <c r="S92" s="442">
        <f t="shared" si="68"/>
        <v>52.484656084656088</v>
      </c>
      <c r="T92" s="442">
        <f t="shared" si="68"/>
        <v>0</v>
      </c>
      <c r="U92" s="443">
        <f t="shared" si="57"/>
        <v>-52.484656084656088</v>
      </c>
      <c r="V92" s="442">
        <f t="shared" si="64"/>
        <v>4.2102063492063486</v>
      </c>
      <c r="W92" s="442">
        <f t="shared" si="64"/>
        <v>0.63791005291005298</v>
      </c>
      <c r="X92" s="443">
        <f t="shared" si="58"/>
        <v>-3.5722962962962956</v>
      </c>
      <c r="Y92" s="442">
        <f t="shared" si="65"/>
        <v>18.407539682539682</v>
      </c>
      <c r="Z92" s="444">
        <f t="shared" si="65"/>
        <v>0</v>
      </c>
      <c r="AA92" s="445">
        <f t="shared" si="59"/>
        <v>-18.407539682539682</v>
      </c>
    </row>
    <row r="93" spans="1:27" ht="15.95">
      <c r="A93" s="720"/>
      <c r="B93" s="722"/>
      <c r="C93" s="409" t="s">
        <v>116</v>
      </c>
      <c r="D93" s="433">
        <f t="shared" si="50"/>
        <v>149.39040211640213</v>
      </c>
      <c r="E93" s="434">
        <f t="shared" si="51"/>
        <v>59.449243386243381</v>
      </c>
      <c r="F93" s="435">
        <f t="shared" si="52"/>
        <v>-89.941158730158747</v>
      </c>
      <c r="G93" s="442">
        <f t="shared" ref="G93:H93" si="81">(G12*G42)/12/21/7.5</f>
        <v>83.975449735449729</v>
      </c>
      <c r="H93" s="444">
        <f t="shared" si="81"/>
        <v>67.180359788359794</v>
      </c>
      <c r="I93" s="445">
        <f t="shared" si="53"/>
        <v>-16.795089947089934</v>
      </c>
      <c r="J93" s="442">
        <f t="shared" ref="J93:K93" si="82">(J12*J42)/12/21/7.5</f>
        <v>53.853481481481488</v>
      </c>
      <c r="K93" s="444">
        <f t="shared" si="82"/>
        <v>13.296761904761906</v>
      </c>
      <c r="L93" s="445">
        <f t="shared" si="54"/>
        <v>-40.55671957671958</v>
      </c>
      <c r="M93" s="442">
        <f t="shared" ref="M93:N93" si="83">(M12*M42)/12/21/7.5</f>
        <v>0</v>
      </c>
      <c r="N93" s="444">
        <f t="shared" si="83"/>
        <v>0</v>
      </c>
      <c r="O93" s="445">
        <f t="shared" si="55"/>
        <v>0</v>
      </c>
      <c r="P93" s="441">
        <f t="shared" si="63"/>
        <v>74.288000000000011</v>
      </c>
      <c r="Q93" s="442">
        <f t="shared" si="63"/>
        <v>58.81133333333333</v>
      </c>
      <c r="R93" s="443">
        <f t="shared" si="56"/>
        <v>-15.476666666666681</v>
      </c>
      <c r="S93" s="442">
        <f t="shared" si="68"/>
        <v>52.484656084656088</v>
      </c>
      <c r="T93" s="442">
        <f t="shared" si="68"/>
        <v>0</v>
      </c>
      <c r="U93" s="443">
        <f t="shared" si="57"/>
        <v>-52.484656084656088</v>
      </c>
      <c r="V93" s="442">
        <f t="shared" si="64"/>
        <v>4.2102063492063486</v>
      </c>
      <c r="W93" s="442">
        <f t="shared" si="64"/>
        <v>0.63791005291005298</v>
      </c>
      <c r="X93" s="443">
        <f t="shared" si="58"/>
        <v>-3.5722962962962956</v>
      </c>
      <c r="Y93" s="442">
        <f t="shared" si="65"/>
        <v>18.407539682539682</v>
      </c>
      <c r="Z93" s="444">
        <f t="shared" si="65"/>
        <v>0</v>
      </c>
      <c r="AA93" s="445">
        <f t="shared" si="59"/>
        <v>-18.407539682539682</v>
      </c>
    </row>
    <row r="94" spans="1:27" ht="15.95">
      <c r="A94" s="720"/>
      <c r="B94" s="722"/>
      <c r="C94" s="409" t="s">
        <v>117</v>
      </c>
      <c r="D94" s="433">
        <f t="shared" si="50"/>
        <v>149.39040211640213</v>
      </c>
      <c r="E94" s="434">
        <f t="shared" si="51"/>
        <v>59.449243386243381</v>
      </c>
      <c r="F94" s="435">
        <f t="shared" si="52"/>
        <v>-89.941158730158747</v>
      </c>
      <c r="G94" s="442">
        <f t="shared" ref="G94:H94" si="84">(G13*G43)/12/21/7.5</f>
        <v>83.975449735449729</v>
      </c>
      <c r="H94" s="444">
        <f t="shared" si="84"/>
        <v>67.180359788359794</v>
      </c>
      <c r="I94" s="445">
        <f t="shared" si="53"/>
        <v>-16.795089947089934</v>
      </c>
      <c r="J94" s="442">
        <f t="shared" ref="J94:K94" si="85">(J13*J43)/12/21/7.5</f>
        <v>53.853481481481488</v>
      </c>
      <c r="K94" s="444">
        <f t="shared" si="85"/>
        <v>13.296761904761906</v>
      </c>
      <c r="L94" s="445">
        <f t="shared" si="54"/>
        <v>-40.55671957671958</v>
      </c>
      <c r="M94" s="442">
        <f t="shared" ref="M94:N94" si="86">(M13*M43)/12/21/7.5</f>
        <v>0</v>
      </c>
      <c r="N94" s="444">
        <f t="shared" si="86"/>
        <v>0</v>
      </c>
      <c r="O94" s="445">
        <f t="shared" si="55"/>
        <v>0</v>
      </c>
      <c r="P94" s="441">
        <f t="shared" si="63"/>
        <v>74.288000000000011</v>
      </c>
      <c r="Q94" s="442">
        <f t="shared" si="63"/>
        <v>58.81133333333333</v>
      </c>
      <c r="R94" s="443">
        <f t="shared" si="56"/>
        <v>-15.476666666666681</v>
      </c>
      <c r="S94" s="442">
        <f t="shared" si="68"/>
        <v>52.484656084656088</v>
      </c>
      <c r="T94" s="442">
        <f t="shared" si="68"/>
        <v>0</v>
      </c>
      <c r="U94" s="443">
        <f t="shared" si="57"/>
        <v>-52.484656084656088</v>
      </c>
      <c r="V94" s="442">
        <f t="shared" si="64"/>
        <v>4.2102063492063486</v>
      </c>
      <c r="W94" s="442">
        <f t="shared" si="64"/>
        <v>0.63791005291005298</v>
      </c>
      <c r="X94" s="443">
        <f t="shared" si="58"/>
        <v>-3.5722962962962956</v>
      </c>
      <c r="Y94" s="442">
        <f t="shared" si="65"/>
        <v>18.407539682539682</v>
      </c>
      <c r="Z94" s="444">
        <f t="shared" si="65"/>
        <v>0</v>
      </c>
      <c r="AA94" s="445">
        <f t="shared" si="59"/>
        <v>-18.407539682539682</v>
      </c>
    </row>
    <row r="95" spans="1:27" ht="15.95">
      <c r="A95" s="720"/>
      <c r="B95" s="722"/>
      <c r="C95" s="409" t="s">
        <v>118</v>
      </c>
      <c r="D95" s="433">
        <f t="shared" si="50"/>
        <v>149.39040211640213</v>
      </c>
      <c r="E95" s="434">
        <f t="shared" si="51"/>
        <v>59.449243386243381</v>
      </c>
      <c r="F95" s="435">
        <f t="shared" si="52"/>
        <v>-89.941158730158747</v>
      </c>
      <c r="G95" s="442">
        <f t="shared" ref="G95:H95" si="87">(G14*G44)/12/21/7.5</f>
        <v>83.975449735449729</v>
      </c>
      <c r="H95" s="444">
        <f t="shared" si="87"/>
        <v>67.180359788359794</v>
      </c>
      <c r="I95" s="445">
        <f t="shared" si="53"/>
        <v>-16.795089947089934</v>
      </c>
      <c r="J95" s="442">
        <f t="shared" ref="J95:K95" si="88">(J14*J44)/12/21/7.5</f>
        <v>53.853481481481488</v>
      </c>
      <c r="K95" s="444">
        <f t="shared" si="88"/>
        <v>13.296761904761906</v>
      </c>
      <c r="L95" s="445">
        <f t="shared" si="54"/>
        <v>-40.55671957671958</v>
      </c>
      <c r="M95" s="442">
        <f t="shared" ref="M95:N95" si="89">(M14*M44)/12/21/7.5</f>
        <v>0</v>
      </c>
      <c r="N95" s="444">
        <f t="shared" si="89"/>
        <v>0</v>
      </c>
      <c r="O95" s="445">
        <f t="shared" si="55"/>
        <v>0</v>
      </c>
      <c r="P95" s="441">
        <f t="shared" si="63"/>
        <v>74.288000000000011</v>
      </c>
      <c r="Q95" s="442">
        <f t="shared" si="63"/>
        <v>58.81133333333333</v>
      </c>
      <c r="R95" s="443">
        <f t="shared" si="56"/>
        <v>-15.476666666666681</v>
      </c>
      <c r="S95" s="442">
        <f t="shared" si="68"/>
        <v>52.484656084656088</v>
      </c>
      <c r="T95" s="442">
        <f t="shared" si="68"/>
        <v>0</v>
      </c>
      <c r="U95" s="443">
        <f t="shared" si="57"/>
        <v>-52.484656084656088</v>
      </c>
      <c r="V95" s="442">
        <f t="shared" si="64"/>
        <v>4.2102063492063486</v>
      </c>
      <c r="W95" s="442">
        <f t="shared" si="64"/>
        <v>0.63791005291005298</v>
      </c>
      <c r="X95" s="443">
        <f t="shared" si="58"/>
        <v>-3.5722962962962956</v>
      </c>
      <c r="Y95" s="442">
        <f t="shared" si="65"/>
        <v>18.407539682539682</v>
      </c>
      <c r="Z95" s="444">
        <f t="shared" si="65"/>
        <v>0</v>
      </c>
      <c r="AA95" s="445">
        <f t="shared" si="59"/>
        <v>-18.407539682539682</v>
      </c>
    </row>
    <row r="96" spans="1:27" ht="17.100000000000001" thickBot="1">
      <c r="A96" s="721"/>
      <c r="B96" s="723"/>
      <c r="C96" s="422" t="s">
        <v>119</v>
      </c>
      <c r="D96" s="446">
        <f t="shared" si="50"/>
        <v>149.39040211640213</v>
      </c>
      <c r="E96" s="447">
        <f t="shared" si="51"/>
        <v>59.449243386243381</v>
      </c>
      <c r="F96" s="448">
        <f t="shared" si="52"/>
        <v>-89.941158730158747</v>
      </c>
      <c r="G96" s="450">
        <f t="shared" ref="G96:H96" si="90">(G15*G45)/12/21/7.5</f>
        <v>83.975449735449729</v>
      </c>
      <c r="H96" s="452">
        <f t="shared" si="90"/>
        <v>67.180359788359794</v>
      </c>
      <c r="I96" s="453">
        <f t="shared" si="53"/>
        <v>-16.795089947089934</v>
      </c>
      <c r="J96" s="450">
        <f t="shared" ref="J96:K96" si="91">(J15*J45)/12/21/7.5</f>
        <v>53.853481481481488</v>
      </c>
      <c r="K96" s="452">
        <f t="shared" si="91"/>
        <v>13.296761904761906</v>
      </c>
      <c r="L96" s="453">
        <f t="shared" si="54"/>
        <v>-40.55671957671958</v>
      </c>
      <c r="M96" s="450">
        <f t="shared" ref="M96:N96" si="92">(M15*M45)/12/21/7.5</f>
        <v>0</v>
      </c>
      <c r="N96" s="452">
        <f t="shared" si="92"/>
        <v>0</v>
      </c>
      <c r="O96" s="453">
        <f t="shared" si="55"/>
        <v>0</v>
      </c>
      <c r="P96" s="449">
        <f t="shared" si="63"/>
        <v>74.288000000000011</v>
      </c>
      <c r="Q96" s="450">
        <f t="shared" si="63"/>
        <v>58.81133333333333</v>
      </c>
      <c r="R96" s="451">
        <f t="shared" si="56"/>
        <v>-15.476666666666681</v>
      </c>
      <c r="S96" s="450">
        <f t="shared" si="68"/>
        <v>52.484656084656088</v>
      </c>
      <c r="T96" s="450">
        <f t="shared" si="68"/>
        <v>0</v>
      </c>
      <c r="U96" s="451">
        <f t="shared" si="57"/>
        <v>-52.484656084656088</v>
      </c>
      <c r="V96" s="450">
        <f t="shared" si="64"/>
        <v>4.2102063492063486</v>
      </c>
      <c r="W96" s="450">
        <f t="shared" si="64"/>
        <v>0.63791005291005298</v>
      </c>
      <c r="X96" s="451">
        <f t="shared" si="58"/>
        <v>-3.5722962962962956</v>
      </c>
      <c r="Y96" s="450">
        <f t="shared" si="65"/>
        <v>18.407539682539682</v>
      </c>
      <c r="Z96" s="452">
        <f t="shared" si="65"/>
        <v>0</v>
      </c>
      <c r="AA96" s="453">
        <f t="shared" si="59"/>
        <v>-18.407539682539682</v>
      </c>
    </row>
    <row r="97" spans="1:27" ht="15.95">
      <c r="A97" s="720" t="s">
        <v>168</v>
      </c>
      <c r="B97" s="722" t="s">
        <v>159</v>
      </c>
      <c r="C97" s="409" t="s">
        <v>110</v>
      </c>
      <c r="D97" s="410">
        <f>P97+S97+V97+Y97</f>
        <v>0</v>
      </c>
      <c r="E97" s="411">
        <f>Q97+T97+W97+Z97</f>
        <v>0</v>
      </c>
      <c r="F97" s="412">
        <f>R97+U97+X97+AA97</f>
        <v>0</v>
      </c>
      <c r="G97" s="430">
        <v>0</v>
      </c>
      <c r="H97" s="431">
        <f>(G67+I67/2)*((G46-H46)*(1+$AB$46))*Faktory!$D$10</f>
        <v>0</v>
      </c>
      <c r="I97" s="432">
        <f>H97</f>
        <v>0</v>
      </c>
      <c r="J97" s="430">
        <v>0</v>
      </c>
      <c r="K97" s="431">
        <f>(J67+L67/2)*((J46-K46)*(1+$AB$46))*Faktory!$D$10</f>
        <v>0</v>
      </c>
      <c r="L97" s="432">
        <f>K97</f>
        <v>0</v>
      </c>
      <c r="M97" s="430">
        <v>0</v>
      </c>
      <c r="N97" s="431">
        <f>(M67+O67/2)*((M46-N46)*(1+$AB$46))*Faktory!$D$10</f>
        <v>0</v>
      </c>
      <c r="O97" s="432">
        <f>N97</f>
        <v>0</v>
      </c>
      <c r="P97" s="429">
        <v>0</v>
      </c>
      <c r="Q97" s="430">
        <f>(P67+R67/2)*((P46-Q46)*(1+$AB$46))*Faktory!$D$10</f>
        <v>0</v>
      </c>
      <c r="R97" s="352">
        <f>Q97</f>
        <v>0</v>
      </c>
      <c r="S97" s="430">
        <v>0</v>
      </c>
      <c r="T97" s="430">
        <f>(S67+U67/2)*((S46-T46)*(1+$AB$46))*Faktory!$D$10</f>
        <v>0</v>
      </c>
      <c r="U97" s="352">
        <f>T97</f>
        <v>0</v>
      </c>
      <c r="V97" s="430">
        <v>0</v>
      </c>
      <c r="W97" s="430">
        <f>(V67+X67/2)*((V46-W46)*(1+$AB$46))*Faktory!$D$10</f>
        <v>0</v>
      </c>
      <c r="X97" s="352">
        <f>W97</f>
        <v>0</v>
      </c>
      <c r="Y97" s="430">
        <v>0</v>
      </c>
      <c r="Z97" s="431">
        <f>(Y67+AA67/2)*((Y46-Z46)*(1+$AB$46))*Faktory!$D$10</f>
        <v>0</v>
      </c>
      <c r="AA97" s="432">
        <f>Z97</f>
        <v>0</v>
      </c>
    </row>
    <row r="98" spans="1:27" ht="15.95">
      <c r="A98" s="720"/>
      <c r="B98" s="722"/>
      <c r="C98" s="409" t="s">
        <v>111</v>
      </c>
      <c r="D98" s="410">
        <f t="shared" ref="D98:D106" si="93">P98+S98+V98+Y98</f>
        <v>0</v>
      </c>
      <c r="E98" s="411">
        <f t="shared" ref="E98:E116" si="94">Q98+T98+W98+Z98</f>
        <v>0</v>
      </c>
      <c r="F98" s="412">
        <f t="shared" ref="F98:F106" si="95">R98+U98+X98+AA98</f>
        <v>0</v>
      </c>
      <c r="G98" s="420">
        <v>0</v>
      </c>
      <c r="H98" s="421">
        <f>(G68+I68/2)*((G47-H47)*(1+$AB$46))*Faktory!$D$10</f>
        <v>0</v>
      </c>
      <c r="I98" s="363">
        <f t="shared" ref="I98:I106" si="96">H98</f>
        <v>0</v>
      </c>
      <c r="J98" s="420">
        <v>0</v>
      </c>
      <c r="K98" s="421">
        <f>(J68+L68/2)*((J47-K47)*(1+$AB$46))*Faktory!$D$10</f>
        <v>0</v>
      </c>
      <c r="L98" s="363">
        <f t="shared" ref="L98:L106" si="97">K98</f>
        <v>0</v>
      </c>
      <c r="M98" s="420">
        <v>0</v>
      </c>
      <c r="N98" s="421">
        <f>(M68+O68/2)*((M47-N47)*(1+$AB$46))*Faktory!$D$10</f>
        <v>0</v>
      </c>
      <c r="O98" s="363">
        <f t="shared" ref="O98:O106" si="98">N98</f>
        <v>0</v>
      </c>
      <c r="P98" s="419">
        <v>0</v>
      </c>
      <c r="Q98" s="420">
        <f>(P68+R68/2)*((P47-Q47)*(1+$AB$46))*Faktory!$D$10</f>
        <v>0</v>
      </c>
      <c r="R98" s="361">
        <f t="shared" ref="R98:R106" si="99">Q98</f>
        <v>0</v>
      </c>
      <c r="S98" s="420">
        <v>0</v>
      </c>
      <c r="T98" s="420">
        <f>(S68+U68/2)*((S47-T47)*(1+$AB$46))*Faktory!$D$10</f>
        <v>0</v>
      </c>
      <c r="U98" s="361">
        <f t="shared" ref="U98:U106" si="100">T98</f>
        <v>0</v>
      </c>
      <c r="V98" s="420">
        <v>0</v>
      </c>
      <c r="W98" s="420">
        <f>(V68+X68/2)*((V47-W47)*(1+$AB$46))*Faktory!$D$10</f>
        <v>0</v>
      </c>
      <c r="X98" s="361">
        <f t="shared" ref="X98:X106" si="101">W98</f>
        <v>0</v>
      </c>
      <c r="Y98" s="420">
        <v>0</v>
      </c>
      <c r="Z98" s="421">
        <f>(Y68+AA68/2)*((Y47-Z47)*(1+$AB$46))*Faktory!$D$10</f>
        <v>0</v>
      </c>
      <c r="AA98" s="363">
        <f t="shared" ref="AA98:AA106" si="102">Z98</f>
        <v>0</v>
      </c>
    </row>
    <row r="99" spans="1:27" ht="15.95">
      <c r="A99" s="720"/>
      <c r="B99" s="722"/>
      <c r="C99" s="409" t="s">
        <v>112</v>
      </c>
      <c r="D99" s="410">
        <f t="shared" si="93"/>
        <v>0</v>
      </c>
      <c r="E99" s="411">
        <f t="shared" si="94"/>
        <v>0</v>
      </c>
      <c r="F99" s="412">
        <f t="shared" si="95"/>
        <v>0</v>
      </c>
      <c r="G99" s="420">
        <v>0</v>
      </c>
      <c r="H99" s="421">
        <f>(G69+I69/2)*((G48-H48)*(1+$AB$46))*Faktory!$D$10</f>
        <v>0</v>
      </c>
      <c r="I99" s="363">
        <f t="shared" si="96"/>
        <v>0</v>
      </c>
      <c r="J99" s="420">
        <v>0</v>
      </c>
      <c r="K99" s="421">
        <f>(J69+L69/2)*((J48-K48)*(1+$AB$46))*Faktory!$D$10</f>
        <v>0</v>
      </c>
      <c r="L99" s="363">
        <f t="shared" si="97"/>
        <v>0</v>
      </c>
      <c r="M99" s="420">
        <v>0</v>
      </c>
      <c r="N99" s="421">
        <f>(M69+O69/2)*((M48-N48)*(1+$AB$46))*Faktory!$D$10</f>
        <v>0</v>
      </c>
      <c r="O99" s="363">
        <f t="shared" si="98"/>
        <v>0</v>
      </c>
      <c r="P99" s="419">
        <v>0</v>
      </c>
      <c r="Q99" s="420">
        <f>(P69+R69/2)*((P48-Q48)*(1+$AB$46))*Faktory!$D$10</f>
        <v>0</v>
      </c>
      <c r="R99" s="361">
        <f t="shared" si="99"/>
        <v>0</v>
      </c>
      <c r="S99" s="420">
        <v>0</v>
      </c>
      <c r="T99" s="420">
        <f>(S69+U69/2)*((S48-T48)*(1+$AB$46))*Faktory!$D$10</f>
        <v>0</v>
      </c>
      <c r="U99" s="361">
        <f t="shared" si="100"/>
        <v>0</v>
      </c>
      <c r="V99" s="420">
        <v>0</v>
      </c>
      <c r="W99" s="420">
        <f>(V69+X69/2)*((V48-W48)*(1+$AB$46))*Faktory!$D$10</f>
        <v>0</v>
      </c>
      <c r="X99" s="361">
        <f t="shared" si="101"/>
        <v>0</v>
      </c>
      <c r="Y99" s="420">
        <v>0</v>
      </c>
      <c r="Z99" s="421">
        <f>(Y69+AA69/2)*((Y48-Z48)*(1+$AB$46))*Faktory!$D$10</f>
        <v>0</v>
      </c>
      <c r="AA99" s="363">
        <f t="shared" si="102"/>
        <v>0</v>
      </c>
    </row>
    <row r="100" spans="1:27" ht="15.95">
      <c r="A100" s="720"/>
      <c r="B100" s="722"/>
      <c r="C100" s="409" t="s">
        <v>113</v>
      </c>
      <c r="D100" s="410">
        <f t="shared" si="93"/>
        <v>0</v>
      </c>
      <c r="E100" s="411">
        <f t="shared" si="94"/>
        <v>0</v>
      </c>
      <c r="F100" s="412">
        <f t="shared" si="95"/>
        <v>0</v>
      </c>
      <c r="G100" s="420">
        <v>0</v>
      </c>
      <c r="H100" s="421">
        <f>(G70+I70/2)*((G49-H49)*(1+$AB$46))*Faktory!$D$10</f>
        <v>0</v>
      </c>
      <c r="I100" s="363">
        <f t="shared" si="96"/>
        <v>0</v>
      </c>
      <c r="J100" s="420">
        <v>0</v>
      </c>
      <c r="K100" s="421">
        <f>(J70+L70/2)*((J49-K49)*(1+$AB$46))*Faktory!$D$10</f>
        <v>0</v>
      </c>
      <c r="L100" s="363">
        <f t="shared" si="97"/>
        <v>0</v>
      </c>
      <c r="M100" s="420">
        <v>0</v>
      </c>
      <c r="N100" s="421">
        <f>(M70+O70/2)*((M49-N49)*(1+$AB$46))*Faktory!$D$10</f>
        <v>0</v>
      </c>
      <c r="O100" s="363">
        <f t="shared" si="98"/>
        <v>0</v>
      </c>
      <c r="P100" s="419">
        <v>0</v>
      </c>
      <c r="Q100" s="420">
        <f>(P70+R70/2)*((P49-Q49)*(1+$AB$46))*Faktory!$D$10</f>
        <v>0</v>
      </c>
      <c r="R100" s="361">
        <f t="shared" si="99"/>
        <v>0</v>
      </c>
      <c r="S100" s="420">
        <v>0</v>
      </c>
      <c r="T100" s="420">
        <f>(S70+U70/2)*((S49-T49)*(1+$AB$46))*Faktory!$D$10</f>
        <v>0</v>
      </c>
      <c r="U100" s="361">
        <f t="shared" si="100"/>
        <v>0</v>
      </c>
      <c r="V100" s="420">
        <v>0</v>
      </c>
      <c r="W100" s="420">
        <f>(V70+X70/2)*((V49-W49)*(1+$AB$46))*Faktory!$D$10</f>
        <v>0</v>
      </c>
      <c r="X100" s="361">
        <f t="shared" si="101"/>
        <v>0</v>
      </c>
      <c r="Y100" s="420">
        <v>0</v>
      </c>
      <c r="Z100" s="421">
        <f>(Y70+AA70/2)*((Y49-Z49)*(1+$AB$46))*Faktory!$D$10</f>
        <v>0</v>
      </c>
      <c r="AA100" s="363">
        <f t="shared" si="102"/>
        <v>0</v>
      </c>
    </row>
    <row r="101" spans="1:27" ht="15.95">
      <c r="A101" s="720"/>
      <c r="B101" s="722"/>
      <c r="C101" s="409" t="s">
        <v>114</v>
      </c>
      <c r="D101" s="410">
        <f t="shared" si="93"/>
        <v>0</v>
      </c>
      <c r="E101" s="411">
        <f t="shared" si="94"/>
        <v>0</v>
      </c>
      <c r="F101" s="412">
        <f t="shared" si="95"/>
        <v>0</v>
      </c>
      <c r="G101" s="420">
        <v>0</v>
      </c>
      <c r="H101" s="421">
        <f>(G71+I71/2)*((G50-H50)*(1+$AB$46))*Faktory!$D$10</f>
        <v>0</v>
      </c>
      <c r="I101" s="363">
        <f t="shared" si="96"/>
        <v>0</v>
      </c>
      <c r="J101" s="420">
        <v>0</v>
      </c>
      <c r="K101" s="421">
        <f>(J71+L71/2)*((J50-K50)*(1+$AB$46))*Faktory!$D$10</f>
        <v>0</v>
      </c>
      <c r="L101" s="363">
        <f t="shared" si="97"/>
        <v>0</v>
      </c>
      <c r="M101" s="420">
        <v>0</v>
      </c>
      <c r="N101" s="421">
        <f>(M71+O71/2)*((M50-N50)*(1+$AB$46))*Faktory!$D$10</f>
        <v>0</v>
      </c>
      <c r="O101" s="363">
        <f t="shared" si="98"/>
        <v>0</v>
      </c>
      <c r="P101" s="419">
        <v>0</v>
      </c>
      <c r="Q101" s="420">
        <f>(P71+R71/2)*((P50-Q50)*(1+$AB$46))*Faktory!$D$10</f>
        <v>0</v>
      </c>
      <c r="R101" s="361">
        <f t="shared" si="99"/>
        <v>0</v>
      </c>
      <c r="S101" s="420">
        <v>0</v>
      </c>
      <c r="T101" s="420">
        <f>(S71+U71/2)*((S50-T50)*(1+$AB$46))*Faktory!$D$10</f>
        <v>0</v>
      </c>
      <c r="U101" s="361">
        <f t="shared" si="100"/>
        <v>0</v>
      </c>
      <c r="V101" s="420">
        <v>0</v>
      </c>
      <c r="W101" s="420">
        <f>(V71+X71/2)*((V50-W50)*(1+$AB$46))*Faktory!$D$10</f>
        <v>0</v>
      </c>
      <c r="X101" s="361">
        <f t="shared" si="101"/>
        <v>0</v>
      </c>
      <c r="Y101" s="420">
        <v>0</v>
      </c>
      <c r="Z101" s="421">
        <f>(Y71+AA71/2)*((Y50-Z50)*(1+$AB$46))*Faktory!$D$10</f>
        <v>0</v>
      </c>
      <c r="AA101" s="363">
        <f t="shared" si="102"/>
        <v>0</v>
      </c>
    </row>
    <row r="102" spans="1:27" ht="15.95">
      <c r="A102" s="720"/>
      <c r="B102" s="722"/>
      <c r="C102" s="409" t="s">
        <v>115</v>
      </c>
      <c r="D102" s="410">
        <f t="shared" si="93"/>
        <v>0</v>
      </c>
      <c r="E102" s="411">
        <f t="shared" si="94"/>
        <v>0</v>
      </c>
      <c r="F102" s="412">
        <f t="shared" si="95"/>
        <v>0</v>
      </c>
      <c r="G102" s="420">
        <v>0</v>
      </c>
      <c r="H102" s="421">
        <f>(G72+I72/2)*((G51-H51)*(1+$AB$46))*Faktory!$D$10</f>
        <v>0</v>
      </c>
      <c r="I102" s="363">
        <f t="shared" si="96"/>
        <v>0</v>
      </c>
      <c r="J102" s="420">
        <v>0</v>
      </c>
      <c r="K102" s="421">
        <f>(J72+L72/2)*((J51-K51)*(1+$AB$46))*Faktory!$D$10</f>
        <v>0</v>
      </c>
      <c r="L102" s="363">
        <f t="shared" si="97"/>
        <v>0</v>
      </c>
      <c r="M102" s="420">
        <v>0</v>
      </c>
      <c r="N102" s="421">
        <f>(M72+O72/2)*((M51-N51)*(1+$AB$46))*Faktory!$D$10</f>
        <v>0</v>
      </c>
      <c r="O102" s="363">
        <f t="shared" si="98"/>
        <v>0</v>
      </c>
      <c r="P102" s="419">
        <v>0</v>
      </c>
      <c r="Q102" s="420">
        <f>(P72+R72/2)*((P51-Q51)*(1+$AB$46))*Faktory!$D$10</f>
        <v>0</v>
      </c>
      <c r="R102" s="361">
        <f t="shared" si="99"/>
        <v>0</v>
      </c>
      <c r="S102" s="420">
        <v>0</v>
      </c>
      <c r="T102" s="420">
        <f>(S72+U72/2)*((S51-T51)*(1+$AB$46))*Faktory!$D$10</f>
        <v>0</v>
      </c>
      <c r="U102" s="361">
        <f t="shared" si="100"/>
        <v>0</v>
      </c>
      <c r="V102" s="420">
        <v>0</v>
      </c>
      <c r="W102" s="420">
        <f>(V72+X72/2)*((V51-W51)*(1+$AB$46))*Faktory!$D$10</f>
        <v>0</v>
      </c>
      <c r="X102" s="361">
        <f t="shared" si="101"/>
        <v>0</v>
      </c>
      <c r="Y102" s="420">
        <v>0</v>
      </c>
      <c r="Z102" s="421">
        <f>(Y72+AA72/2)*((Y51-Z51)*(1+$AB$46))*Faktory!$D$10</f>
        <v>0</v>
      </c>
      <c r="AA102" s="363">
        <f t="shared" si="102"/>
        <v>0</v>
      </c>
    </row>
    <row r="103" spans="1:27" ht="15.95">
      <c r="A103" s="720"/>
      <c r="B103" s="722"/>
      <c r="C103" s="409" t="s">
        <v>116</v>
      </c>
      <c r="D103" s="410">
        <f t="shared" si="93"/>
        <v>0</v>
      </c>
      <c r="E103" s="411">
        <f t="shared" si="94"/>
        <v>0</v>
      </c>
      <c r="F103" s="412">
        <f t="shared" si="95"/>
        <v>0</v>
      </c>
      <c r="G103" s="420">
        <v>0</v>
      </c>
      <c r="H103" s="421">
        <f>(G73+I73/2)*((G52-H52)*(1+$AB$46))*Faktory!$D$10</f>
        <v>0</v>
      </c>
      <c r="I103" s="363">
        <f t="shared" si="96"/>
        <v>0</v>
      </c>
      <c r="J103" s="420">
        <v>0</v>
      </c>
      <c r="K103" s="421">
        <f>(J73+L73/2)*((J52-K52)*(1+$AB$46))*Faktory!$D$10</f>
        <v>0</v>
      </c>
      <c r="L103" s="363">
        <f t="shared" si="97"/>
        <v>0</v>
      </c>
      <c r="M103" s="420">
        <v>0</v>
      </c>
      <c r="N103" s="421">
        <f>(M73+O73/2)*((M52-N52)*(1+$AB$46))*Faktory!$D$10</f>
        <v>0</v>
      </c>
      <c r="O103" s="363">
        <f t="shared" si="98"/>
        <v>0</v>
      </c>
      <c r="P103" s="419">
        <v>0</v>
      </c>
      <c r="Q103" s="420">
        <f>(P73+R73/2)*((P52-Q52)*(1+$AB$46))*Faktory!$D$10</f>
        <v>0</v>
      </c>
      <c r="R103" s="361">
        <f t="shared" si="99"/>
        <v>0</v>
      </c>
      <c r="S103" s="420">
        <v>0</v>
      </c>
      <c r="T103" s="420">
        <f>(S73+U73/2)*((S52-T52)*(1+$AB$46))*Faktory!$D$10</f>
        <v>0</v>
      </c>
      <c r="U103" s="361">
        <f t="shared" si="100"/>
        <v>0</v>
      </c>
      <c r="V103" s="420">
        <v>0</v>
      </c>
      <c r="W103" s="420">
        <f>(V73+X73/2)*((V52-W52)*(1+$AB$46))*Faktory!$D$10</f>
        <v>0</v>
      </c>
      <c r="X103" s="361">
        <f t="shared" si="101"/>
        <v>0</v>
      </c>
      <c r="Y103" s="420">
        <v>0</v>
      </c>
      <c r="Z103" s="421">
        <f>(Y73+AA73/2)*((Y52-Z52)*(1+$AB$46))*Faktory!$D$10</f>
        <v>0</v>
      </c>
      <c r="AA103" s="363">
        <f t="shared" si="102"/>
        <v>0</v>
      </c>
    </row>
    <row r="104" spans="1:27" ht="15.95">
      <c r="A104" s="720"/>
      <c r="B104" s="722"/>
      <c r="C104" s="409" t="s">
        <v>117</v>
      </c>
      <c r="D104" s="410">
        <f t="shared" si="93"/>
        <v>0</v>
      </c>
      <c r="E104" s="411">
        <f t="shared" si="94"/>
        <v>0</v>
      </c>
      <c r="F104" s="412">
        <f t="shared" si="95"/>
        <v>0</v>
      </c>
      <c r="G104" s="420">
        <v>0</v>
      </c>
      <c r="H104" s="421">
        <f>(G74+I74/2)*((G53-H53)*(1+$AB$46))*Faktory!$D$10</f>
        <v>0</v>
      </c>
      <c r="I104" s="363">
        <f t="shared" si="96"/>
        <v>0</v>
      </c>
      <c r="J104" s="420">
        <v>0</v>
      </c>
      <c r="K104" s="421">
        <f>(J74+L74/2)*((J53-K53)*(1+$AB$46))*Faktory!$D$10</f>
        <v>0</v>
      </c>
      <c r="L104" s="363">
        <f t="shared" si="97"/>
        <v>0</v>
      </c>
      <c r="M104" s="420">
        <v>0</v>
      </c>
      <c r="N104" s="421">
        <f>(M74+O74/2)*((M53-N53)*(1+$AB$46))*Faktory!$D$10</f>
        <v>0</v>
      </c>
      <c r="O104" s="363">
        <f t="shared" si="98"/>
        <v>0</v>
      </c>
      <c r="P104" s="419">
        <v>0</v>
      </c>
      <c r="Q104" s="420">
        <f>(P74+R74/2)*((P53-Q53)*(1+$AB$46))*Faktory!$D$10</f>
        <v>0</v>
      </c>
      <c r="R104" s="361">
        <f t="shared" si="99"/>
        <v>0</v>
      </c>
      <c r="S104" s="420">
        <v>0</v>
      </c>
      <c r="T104" s="420">
        <f>(S74+U74/2)*((S53-T53)*(1+$AB$46))*Faktory!$D$10</f>
        <v>0</v>
      </c>
      <c r="U104" s="361">
        <f t="shared" si="100"/>
        <v>0</v>
      </c>
      <c r="V104" s="420">
        <v>0</v>
      </c>
      <c r="W104" s="420">
        <f>(V74+X74/2)*((V53-W53)*(1+$AB$46))*Faktory!$D$10</f>
        <v>0</v>
      </c>
      <c r="X104" s="361">
        <f t="shared" si="101"/>
        <v>0</v>
      </c>
      <c r="Y104" s="420">
        <v>0</v>
      </c>
      <c r="Z104" s="421">
        <f>(Y74+AA74/2)*((Y53-Z53)*(1+$AB$46))*Faktory!$D$10</f>
        <v>0</v>
      </c>
      <c r="AA104" s="363">
        <f t="shared" si="102"/>
        <v>0</v>
      </c>
    </row>
    <row r="105" spans="1:27" ht="15.95">
      <c r="A105" s="720"/>
      <c r="B105" s="722"/>
      <c r="C105" s="409" t="s">
        <v>118</v>
      </c>
      <c r="D105" s="410">
        <f t="shared" si="93"/>
        <v>0</v>
      </c>
      <c r="E105" s="411">
        <f t="shared" si="94"/>
        <v>0</v>
      </c>
      <c r="F105" s="412">
        <f t="shared" si="95"/>
        <v>0</v>
      </c>
      <c r="G105" s="420">
        <v>0</v>
      </c>
      <c r="H105" s="421">
        <f>(G75+I75/2)*((G54-H54)*(1+$AB$46))*Faktory!$D$10</f>
        <v>0</v>
      </c>
      <c r="I105" s="363">
        <f t="shared" si="96"/>
        <v>0</v>
      </c>
      <c r="J105" s="420">
        <v>0</v>
      </c>
      <c r="K105" s="421">
        <f>(J75+L75/2)*((J54-K54)*(1+$AB$46))*Faktory!$D$10</f>
        <v>0</v>
      </c>
      <c r="L105" s="363">
        <f t="shared" si="97"/>
        <v>0</v>
      </c>
      <c r="M105" s="420">
        <v>0</v>
      </c>
      <c r="N105" s="421">
        <f>(M75+O75/2)*((M54-N54)*(1+$AB$46))*Faktory!$D$10</f>
        <v>0</v>
      </c>
      <c r="O105" s="363">
        <f t="shared" si="98"/>
        <v>0</v>
      </c>
      <c r="P105" s="419">
        <v>0</v>
      </c>
      <c r="Q105" s="420">
        <f>(P75+R75/2)*((P54-Q54)*(1+$AB$46))*Faktory!$D$10</f>
        <v>0</v>
      </c>
      <c r="R105" s="361">
        <f t="shared" si="99"/>
        <v>0</v>
      </c>
      <c r="S105" s="420">
        <v>0</v>
      </c>
      <c r="T105" s="420">
        <f>(S75+U75/2)*((S54-T54)*(1+$AB$46))*Faktory!$D$10</f>
        <v>0</v>
      </c>
      <c r="U105" s="361">
        <f t="shared" si="100"/>
        <v>0</v>
      </c>
      <c r="V105" s="420">
        <v>0</v>
      </c>
      <c r="W105" s="420">
        <f>(V75+X75/2)*((V54-W54)*(1+$AB$46))*Faktory!$D$10</f>
        <v>0</v>
      </c>
      <c r="X105" s="361">
        <f t="shared" si="101"/>
        <v>0</v>
      </c>
      <c r="Y105" s="420">
        <v>0</v>
      </c>
      <c r="Z105" s="421">
        <f>(Y75+AA75/2)*((Y54-Z54)*(1+$AB$46))*Faktory!$D$10</f>
        <v>0</v>
      </c>
      <c r="AA105" s="363">
        <f t="shared" si="102"/>
        <v>0</v>
      </c>
    </row>
    <row r="106" spans="1:27" ht="17.100000000000001" thickBot="1">
      <c r="A106" s="721"/>
      <c r="B106" s="723"/>
      <c r="C106" s="422" t="s">
        <v>119</v>
      </c>
      <c r="D106" s="423">
        <f t="shared" si="93"/>
        <v>0</v>
      </c>
      <c r="E106" s="424">
        <f t="shared" si="94"/>
        <v>0</v>
      </c>
      <c r="F106" s="425">
        <f t="shared" si="95"/>
        <v>0</v>
      </c>
      <c r="G106" s="427">
        <v>0</v>
      </c>
      <c r="H106" s="428">
        <f>(G76+I76/2)*((G55-H55)*(1+$AB$46))*Faktory!$D$10</f>
        <v>0</v>
      </c>
      <c r="I106" s="372">
        <f t="shared" si="96"/>
        <v>0</v>
      </c>
      <c r="J106" s="427">
        <v>0</v>
      </c>
      <c r="K106" s="428">
        <f>(J76+L76/2)*((J55-K55)*(1+$AB$46))*Faktory!$D$10</f>
        <v>0</v>
      </c>
      <c r="L106" s="372">
        <f t="shared" si="97"/>
        <v>0</v>
      </c>
      <c r="M106" s="427">
        <v>0</v>
      </c>
      <c r="N106" s="428">
        <f>(M76+O76/2)*((M55-N55)*(1+$AB$46))*Faktory!$D$10</f>
        <v>0</v>
      </c>
      <c r="O106" s="372">
        <f t="shared" si="98"/>
        <v>0</v>
      </c>
      <c r="P106" s="426">
        <v>0</v>
      </c>
      <c r="Q106" s="427">
        <f>(P76+R76/2)*((P55-Q55)*(1+$AB$46))*Faktory!$D$10</f>
        <v>0</v>
      </c>
      <c r="R106" s="370">
        <f t="shared" si="99"/>
        <v>0</v>
      </c>
      <c r="S106" s="427">
        <v>0</v>
      </c>
      <c r="T106" s="427">
        <f>(S76+U76/2)*((S55-T55)*(1+$AB$46))*Faktory!$D$10</f>
        <v>0</v>
      </c>
      <c r="U106" s="370">
        <f t="shared" si="100"/>
        <v>0</v>
      </c>
      <c r="V106" s="427">
        <v>0</v>
      </c>
      <c r="W106" s="427">
        <f>(V76+X76/2)*((V55-W55)*(1+$AB$46))*Faktory!$D$10</f>
        <v>0</v>
      </c>
      <c r="X106" s="370">
        <f t="shared" si="101"/>
        <v>0</v>
      </c>
      <c r="Y106" s="427">
        <v>0</v>
      </c>
      <c r="Z106" s="428">
        <f>(Y76+AA76/2)*((Y55-Z55)*(1+$AB$46))*Faktory!$D$10</f>
        <v>0</v>
      </c>
      <c r="AA106" s="372">
        <f t="shared" si="102"/>
        <v>0</v>
      </c>
    </row>
    <row r="107" spans="1:27" ht="15.95">
      <c r="A107" s="720" t="s">
        <v>169</v>
      </c>
      <c r="B107" s="722" t="s">
        <v>159</v>
      </c>
      <c r="C107" s="409" t="s">
        <v>110</v>
      </c>
      <c r="D107" s="410">
        <f>P107+S107+V107+Y107</f>
        <v>0</v>
      </c>
      <c r="E107" s="411">
        <f t="shared" si="94"/>
        <v>0</v>
      </c>
      <c r="F107" s="412">
        <f>E107-D107</f>
        <v>0</v>
      </c>
      <c r="G107" s="430">
        <f t="shared" ref="G107:H107" si="103">G6*G16</f>
        <v>1983920</v>
      </c>
      <c r="H107" s="431">
        <f t="shared" si="103"/>
        <v>1983920</v>
      </c>
      <c r="I107" s="432">
        <f t="shared" ref="I107:I116" si="104">H107-G107</f>
        <v>0</v>
      </c>
      <c r="J107" s="430">
        <f t="shared" ref="J107:K107" si="105">J6*J16</f>
        <v>0</v>
      </c>
      <c r="K107" s="431">
        <f t="shared" si="105"/>
        <v>0</v>
      </c>
      <c r="L107" s="432">
        <f t="shared" ref="L107:L116" si="106">K107-J107</f>
        <v>0</v>
      </c>
      <c r="M107" s="430">
        <f>M6*M16</f>
        <v>0</v>
      </c>
      <c r="N107" s="431">
        <f>N6*N16</f>
        <v>0</v>
      </c>
      <c r="O107" s="432">
        <f t="shared" ref="O107:O116" si="107">N107-M107</f>
        <v>0</v>
      </c>
      <c r="P107" s="429">
        <f t="shared" ref="P107:Q116" si="108">P6*P16</f>
        <v>0</v>
      </c>
      <c r="Q107" s="430">
        <f t="shared" si="108"/>
        <v>0</v>
      </c>
      <c r="R107" s="352">
        <f>Q107-P107</f>
        <v>0</v>
      </c>
      <c r="S107" s="430">
        <f>S6*S16</f>
        <v>0</v>
      </c>
      <c r="T107" s="430">
        <f>T6*T16</f>
        <v>0</v>
      </c>
      <c r="U107" s="352">
        <f t="shared" ref="U107:U116" si="109">T107-S107</f>
        <v>0</v>
      </c>
      <c r="V107" s="430">
        <f t="shared" ref="V107:W116" si="110">V6*V16</f>
        <v>0</v>
      </c>
      <c r="W107" s="430">
        <f t="shared" si="110"/>
        <v>0</v>
      </c>
      <c r="X107" s="352">
        <f t="shared" ref="X107:X116" si="111">W107-V107</f>
        <v>0</v>
      </c>
      <c r="Y107" s="430">
        <f t="shared" ref="Y107:Z116" si="112">Y6*Y16</f>
        <v>0</v>
      </c>
      <c r="Z107" s="431">
        <f t="shared" si="112"/>
        <v>0</v>
      </c>
      <c r="AA107" s="432">
        <f t="shared" ref="AA107:AA116" si="113">Z107-Y107</f>
        <v>0</v>
      </c>
    </row>
    <row r="108" spans="1:27" ht="15.95">
      <c r="A108" s="720"/>
      <c r="B108" s="722"/>
      <c r="C108" s="409" t="s">
        <v>111</v>
      </c>
      <c r="D108" s="410">
        <f t="shared" ref="D108:D116" si="114">P108+S108+V108+Y108</f>
        <v>0</v>
      </c>
      <c r="E108" s="411">
        <f t="shared" si="94"/>
        <v>0</v>
      </c>
      <c r="F108" s="412">
        <f t="shared" ref="F108:F116" si="115">E108-D108</f>
        <v>0</v>
      </c>
      <c r="G108" s="420">
        <f t="shared" ref="G108:H108" si="116">G7*G17</f>
        <v>1983920</v>
      </c>
      <c r="H108" s="421">
        <f t="shared" si="116"/>
        <v>1884724</v>
      </c>
      <c r="I108" s="363">
        <f t="shared" si="104"/>
        <v>-99196</v>
      </c>
      <c r="J108" s="420">
        <f t="shared" ref="J108:K108" si="117">J7*J17</f>
        <v>0</v>
      </c>
      <c r="K108" s="421">
        <f t="shared" si="117"/>
        <v>0</v>
      </c>
      <c r="L108" s="363">
        <f t="shared" si="106"/>
        <v>0</v>
      </c>
      <c r="M108" s="420">
        <f t="shared" ref="M108:N108" si="118">M7*M17</f>
        <v>0</v>
      </c>
      <c r="N108" s="421">
        <f t="shared" si="118"/>
        <v>0</v>
      </c>
      <c r="O108" s="363">
        <f t="shared" si="107"/>
        <v>0</v>
      </c>
      <c r="P108" s="419">
        <f t="shared" si="108"/>
        <v>0</v>
      </c>
      <c r="Q108" s="420">
        <f t="shared" si="108"/>
        <v>0</v>
      </c>
      <c r="R108" s="361">
        <f t="shared" ref="R108:R116" si="119">Q108-P108</f>
        <v>0</v>
      </c>
      <c r="S108" s="420">
        <f t="shared" ref="S108:T116" si="120">S7*S17</f>
        <v>0</v>
      </c>
      <c r="T108" s="420">
        <f t="shared" si="120"/>
        <v>0</v>
      </c>
      <c r="U108" s="361">
        <f t="shared" si="109"/>
        <v>0</v>
      </c>
      <c r="V108" s="420">
        <f t="shared" si="110"/>
        <v>0</v>
      </c>
      <c r="W108" s="420">
        <f t="shared" si="110"/>
        <v>0</v>
      </c>
      <c r="X108" s="361">
        <f t="shared" si="111"/>
        <v>0</v>
      </c>
      <c r="Y108" s="420">
        <f t="shared" si="112"/>
        <v>0</v>
      </c>
      <c r="Z108" s="421">
        <f t="shared" si="112"/>
        <v>0</v>
      </c>
      <c r="AA108" s="363">
        <f t="shared" si="113"/>
        <v>0</v>
      </c>
    </row>
    <row r="109" spans="1:27" ht="15.95">
      <c r="A109" s="720"/>
      <c r="B109" s="722"/>
      <c r="C109" s="409" t="s">
        <v>112</v>
      </c>
      <c r="D109" s="410">
        <f t="shared" si="114"/>
        <v>0</v>
      </c>
      <c r="E109" s="411">
        <f t="shared" si="94"/>
        <v>0</v>
      </c>
      <c r="F109" s="412">
        <f t="shared" si="115"/>
        <v>0</v>
      </c>
      <c r="G109" s="420">
        <f t="shared" ref="G109:H109" si="121">G8*G18</f>
        <v>1983920</v>
      </c>
      <c r="H109" s="421">
        <f t="shared" si="121"/>
        <v>1686332</v>
      </c>
      <c r="I109" s="363">
        <f t="shared" si="104"/>
        <v>-297588</v>
      </c>
      <c r="J109" s="420">
        <f t="shared" ref="J109:K109" si="122">J8*J18</f>
        <v>0</v>
      </c>
      <c r="K109" s="421">
        <f t="shared" si="122"/>
        <v>0</v>
      </c>
      <c r="L109" s="363">
        <f t="shared" si="106"/>
        <v>0</v>
      </c>
      <c r="M109" s="420">
        <f t="shared" ref="M109:N109" si="123">M8*M18</f>
        <v>0</v>
      </c>
      <c r="N109" s="421">
        <f t="shared" si="123"/>
        <v>0</v>
      </c>
      <c r="O109" s="363">
        <f t="shared" si="107"/>
        <v>0</v>
      </c>
      <c r="P109" s="419">
        <f t="shared" si="108"/>
        <v>0</v>
      </c>
      <c r="Q109" s="420">
        <f t="shared" si="108"/>
        <v>0</v>
      </c>
      <c r="R109" s="361">
        <f t="shared" si="119"/>
        <v>0</v>
      </c>
      <c r="S109" s="420">
        <f t="shared" si="120"/>
        <v>0</v>
      </c>
      <c r="T109" s="420">
        <f t="shared" si="120"/>
        <v>0</v>
      </c>
      <c r="U109" s="361">
        <f t="shared" si="109"/>
        <v>0</v>
      </c>
      <c r="V109" s="420">
        <f t="shared" si="110"/>
        <v>0</v>
      </c>
      <c r="W109" s="420">
        <f t="shared" si="110"/>
        <v>0</v>
      </c>
      <c r="X109" s="361">
        <f t="shared" si="111"/>
        <v>0</v>
      </c>
      <c r="Y109" s="420">
        <f t="shared" si="112"/>
        <v>0</v>
      </c>
      <c r="Z109" s="421">
        <f t="shared" si="112"/>
        <v>0</v>
      </c>
      <c r="AA109" s="363">
        <f t="shared" si="113"/>
        <v>0</v>
      </c>
    </row>
    <row r="110" spans="1:27" ht="15.95">
      <c r="A110" s="720"/>
      <c r="B110" s="722"/>
      <c r="C110" s="409" t="s">
        <v>113</v>
      </c>
      <c r="D110" s="410">
        <f t="shared" si="114"/>
        <v>0</v>
      </c>
      <c r="E110" s="411">
        <f t="shared" si="94"/>
        <v>0</v>
      </c>
      <c r="F110" s="412">
        <f t="shared" si="115"/>
        <v>0</v>
      </c>
      <c r="G110" s="420">
        <f t="shared" ref="G110:H110" si="124">G9*G19</f>
        <v>1983920</v>
      </c>
      <c r="H110" s="421">
        <f t="shared" si="124"/>
        <v>1587136</v>
      </c>
      <c r="I110" s="363">
        <f t="shared" si="104"/>
        <v>-396784</v>
      </c>
      <c r="J110" s="420">
        <f t="shared" ref="J110:K110" si="125">J9*J19</f>
        <v>0</v>
      </c>
      <c r="K110" s="421">
        <f t="shared" si="125"/>
        <v>0</v>
      </c>
      <c r="L110" s="363">
        <f t="shared" si="106"/>
        <v>0</v>
      </c>
      <c r="M110" s="420">
        <f t="shared" ref="M110:N110" si="126">M9*M19</f>
        <v>0</v>
      </c>
      <c r="N110" s="421">
        <f t="shared" si="126"/>
        <v>0</v>
      </c>
      <c r="O110" s="363">
        <f t="shared" si="107"/>
        <v>0</v>
      </c>
      <c r="P110" s="419">
        <f t="shared" si="108"/>
        <v>0</v>
      </c>
      <c r="Q110" s="420">
        <f t="shared" si="108"/>
        <v>0</v>
      </c>
      <c r="R110" s="361">
        <f t="shared" si="119"/>
        <v>0</v>
      </c>
      <c r="S110" s="420">
        <f t="shared" si="120"/>
        <v>0</v>
      </c>
      <c r="T110" s="420">
        <f t="shared" si="120"/>
        <v>0</v>
      </c>
      <c r="U110" s="361">
        <f t="shared" si="109"/>
        <v>0</v>
      </c>
      <c r="V110" s="420">
        <f t="shared" si="110"/>
        <v>0</v>
      </c>
      <c r="W110" s="420">
        <f t="shared" si="110"/>
        <v>0</v>
      </c>
      <c r="X110" s="361">
        <f t="shared" si="111"/>
        <v>0</v>
      </c>
      <c r="Y110" s="420">
        <f t="shared" si="112"/>
        <v>0</v>
      </c>
      <c r="Z110" s="421">
        <f t="shared" si="112"/>
        <v>0</v>
      </c>
      <c r="AA110" s="363">
        <f t="shared" si="113"/>
        <v>0</v>
      </c>
    </row>
    <row r="111" spans="1:27" ht="15.95">
      <c r="A111" s="720"/>
      <c r="B111" s="722"/>
      <c r="C111" s="409" t="s">
        <v>114</v>
      </c>
      <c r="D111" s="410">
        <f t="shared" si="114"/>
        <v>0</v>
      </c>
      <c r="E111" s="411">
        <f t="shared" si="94"/>
        <v>0</v>
      </c>
      <c r="F111" s="412">
        <f t="shared" si="115"/>
        <v>0</v>
      </c>
      <c r="G111" s="420">
        <f t="shared" ref="G111:H111" si="127">G10*G20</f>
        <v>1983920</v>
      </c>
      <c r="H111" s="421">
        <f t="shared" si="127"/>
        <v>1587136</v>
      </c>
      <c r="I111" s="363">
        <f t="shared" si="104"/>
        <v>-396784</v>
      </c>
      <c r="J111" s="420">
        <f t="shared" ref="J111:K111" si="128">J10*J20</f>
        <v>0</v>
      </c>
      <c r="K111" s="421">
        <f t="shared" si="128"/>
        <v>0</v>
      </c>
      <c r="L111" s="363">
        <f t="shared" si="106"/>
        <v>0</v>
      </c>
      <c r="M111" s="420">
        <f t="shared" ref="M111:N111" si="129">M10*M20</f>
        <v>0</v>
      </c>
      <c r="N111" s="421">
        <f t="shared" si="129"/>
        <v>0</v>
      </c>
      <c r="O111" s="363">
        <f t="shared" si="107"/>
        <v>0</v>
      </c>
      <c r="P111" s="419">
        <f t="shared" si="108"/>
        <v>0</v>
      </c>
      <c r="Q111" s="420">
        <f t="shared" si="108"/>
        <v>0</v>
      </c>
      <c r="R111" s="361">
        <f t="shared" si="119"/>
        <v>0</v>
      </c>
      <c r="S111" s="420">
        <f t="shared" si="120"/>
        <v>0</v>
      </c>
      <c r="T111" s="420">
        <f t="shared" si="120"/>
        <v>0</v>
      </c>
      <c r="U111" s="361">
        <f t="shared" si="109"/>
        <v>0</v>
      </c>
      <c r="V111" s="420">
        <f t="shared" si="110"/>
        <v>0</v>
      </c>
      <c r="W111" s="420">
        <f t="shared" si="110"/>
        <v>0</v>
      </c>
      <c r="X111" s="361">
        <f t="shared" si="111"/>
        <v>0</v>
      </c>
      <c r="Y111" s="420">
        <f t="shared" si="112"/>
        <v>0</v>
      </c>
      <c r="Z111" s="421">
        <f t="shared" si="112"/>
        <v>0</v>
      </c>
      <c r="AA111" s="363">
        <f t="shared" si="113"/>
        <v>0</v>
      </c>
    </row>
    <row r="112" spans="1:27" ht="15.95">
      <c r="A112" s="720"/>
      <c r="B112" s="722"/>
      <c r="C112" s="409" t="s">
        <v>115</v>
      </c>
      <c r="D112" s="410">
        <f t="shared" si="114"/>
        <v>0</v>
      </c>
      <c r="E112" s="411">
        <f t="shared" si="94"/>
        <v>0</v>
      </c>
      <c r="F112" s="412">
        <f t="shared" si="115"/>
        <v>0</v>
      </c>
      <c r="G112" s="420">
        <f t="shared" ref="G112:H112" si="130">G11*G21</f>
        <v>1983920</v>
      </c>
      <c r="H112" s="421">
        <f t="shared" si="130"/>
        <v>1587136</v>
      </c>
      <c r="I112" s="363">
        <f t="shared" si="104"/>
        <v>-396784</v>
      </c>
      <c r="J112" s="420">
        <f t="shared" ref="J112:K112" si="131">J11*J21</f>
        <v>0</v>
      </c>
      <c r="K112" s="421">
        <f t="shared" si="131"/>
        <v>0</v>
      </c>
      <c r="L112" s="363">
        <f t="shared" si="106"/>
        <v>0</v>
      </c>
      <c r="M112" s="420">
        <f t="shared" ref="M112:N112" si="132">M11*M21</f>
        <v>0</v>
      </c>
      <c r="N112" s="421">
        <f t="shared" si="132"/>
        <v>0</v>
      </c>
      <c r="O112" s="363">
        <f t="shared" si="107"/>
        <v>0</v>
      </c>
      <c r="P112" s="419">
        <f t="shared" si="108"/>
        <v>0</v>
      </c>
      <c r="Q112" s="420">
        <f t="shared" si="108"/>
        <v>0</v>
      </c>
      <c r="R112" s="361">
        <f t="shared" si="119"/>
        <v>0</v>
      </c>
      <c r="S112" s="420">
        <f t="shared" si="120"/>
        <v>0</v>
      </c>
      <c r="T112" s="420">
        <f t="shared" si="120"/>
        <v>0</v>
      </c>
      <c r="U112" s="361">
        <f t="shared" si="109"/>
        <v>0</v>
      </c>
      <c r="V112" s="420">
        <f t="shared" si="110"/>
        <v>0</v>
      </c>
      <c r="W112" s="420">
        <f t="shared" si="110"/>
        <v>0</v>
      </c>
      <c r="X112" s="361">
        <f t="shared" si="111"/>
        <v>0</v>
      </c>
      <c r="Y112" s="420">
        <f t="shared" si="112"/>
        <v>0</v>
      </c>
      <c r="Z112" s="421">
        <f t="shared" si="112"/>
        <v>0</v>
      </c>
      <c r="AA112" s="363">
        <f t="shared" si="113"/>
        <v>0</v>
      </c>
    </row>
    <row r="113" spans="1:28" ht="15.95">
      <c r="A113" s="720"/>
      <c r="B113" s="722"/>
      <c r="C113" s="409" t="s">
        <v>116</v>
      </c>
      <c r="D113" s="410">
        <f t="shared" si="114"/>
        <v>0</v>
      </c>
      <c r="E113" s="411">
        <f t="shared" si="94"/>
        <v>0</v>
      </c>
      <c r="F113" s="412">
        <f t="shared" si="115"/>
        <v>0</v>
      </c>
      <c r="G113" s="420">
        <f t="shared" ref="G113:H113" si="133">G12*G22</f>
        <v>1983920</v>
      </c>
      <c r="H113" s="421">
        <f t="shared" si="133"/>
        <v>1587136</v>
      </c>
      <c r="I113" s="363">
        <f t="shared" si="104"/>
        <v>-396784</v>
      </c>
      <c r="J113" s="420">
        <f t="shared" ref="J113:K113" si="134">J12*J22</f>
        <v>0</v>
      </c>
      <c r="K113" s="421">
        <f t="shared" si="134"/>
        <v>0</v>
      </c>
      <c r="L113" s="363">
        <f t="shared" si="106"/>
        <v>0</v>
      </c>
      <c r="M113" s="420">
        <f t="shared" ref="M113:N113" si="135">M12*M22</f>
        <v>0</v>
      </c>
      <c r="N113" s="421">
        <f t="shared" si="135"/>
        <v>0</v>
      </c>
      <c r="O113" s="363">
        <f t="shared" si="107"/>
        <v>0</v>
      </c>
      <c r="P113" s="419">
        <f t="shared" si="108"/>
        <v>0</v>
      </c>
      <c r="Q113" s="420">
        <f t="shared" si="108"/>
        <v>0</v>
      </c>
      <c r="R113" s="361">
        <f t="shared" si="119"/>
        <v>0</v>
      </c>
      <c r="S113" s="420">
        <f t="shared" si="120"/>
        <v>0</v>
      </c>
      <c r="T113" s="420">
        <f t="shared" si="120"/>
        <v>0</v>
      </c>
      <c r="U113" s="361">
        <f t="shared" si="109"/>
        <v>0</v>
      </c>
      <c r="V113" s="420">
        <f t="shared" si="110"/>
        <v>0</v>
      </c>
      <c r="W113" s="420">
        <f t="shared" si="110"/>
        <v>0</v>
      </c>
      <c r="X113" s="361">
        <f t="shared" si="111"/>
        <v>0</v>
      </c>
      <c r="Y113" s="420">
        <f t="shared" si="112"/>
        <v>0</v>
      </c>
      <c r="Z113" s="421">
        <f t="shared" si="112"/>
        <v>0</v>
      </c>
      <c r="AA113" s="363">
        <f t="shared" si="113"/>
        <v>0</v>
      </c>
    </row>
    <row r="114" spans="1:28" ht="15.95">
      <c r="A114" s="720"/>
      <c r="B114" s="722"/>
      <c r="C114" s="409" t="s">
        <v>117</v>
      </c>
      <c r="D114" s="410">
        <f t="shared" si="114"/>
        <v>0</v>
      </c>
      <c r="E114" s="411">
        <f t="shared" si="94"/>
        <v>0</v>
      </c>
      <c r="F114" s="412">
        <f t="shared" si="115"/>
        <v>0</v>
      </c>
      <c r="G114" s="420">
        <f t="shared" ref="G114:H114" si="136">G13*G23</f>
        <v>1983920</v>
      </c>
      <c r="H114" s="421">
        <f t="shared" si="136"/>
        <v>1587136</v>
      </c>
      <c r="I114" s="363">
        <f t="shared" si="104"/>
        <v>-396784</v>
      </c>
      <c r="J114" s="420">
        <f t="shared" ref="J114:K114" si="137">J13*J23</f>
        <v>0</v>
      </c>
      <c r="K114" s="421">
        <f t="shared" si="137"/>
        <v>0</v>
      </c>
      <c r="L114" s="363">
        <f t="shared" si="106"/>
        <v>0</v>
      </c>
      <c r="M114" s="420">
        <f t="shared" ref="M114:N114" si="138">M13*M23</f>
        <v>0</v>
      </c>
      <c r="N114" s="421">
        <f t="shared" si="138"/>
        <v>0</v>
      </c>
      <c r="O114" s="363">
        <f t="shared" si="107"/>
        <v>0</v>
      </c>
      <c r="P114" s="419">
        <f t="shared" si="108"/>
        <v>0</v>
      </c>
      <c r="Q114" s="420">
        <f t="shared" si="108"/>
        <v>0</v>
      </c>
      <c r="R114" s="361">
        <f t="shared" si="119"/>
        <v>0</v>
      </c>
      <c r="S114" s="420">
        <f t="shared" si="120"/>
        <v>0</v>
      </c>
      <c r="T114" s="420">
        <f t="shared" si="120"/>
        <v>0</v>
      </c>
      <c r="U114" s="361">
        <f t="shared" si="109"/>
        <v>0</v>
      </c>
      <c r="V114" s="420">
        <f t="shared" si="110"/>
        <v>0</v>
      </c>
      <c r="W114" s="420">
        <f t="shared" si="110"/>
        <v>0</v>
      </c>
      <c r="X114" s="361">
        <f t="shared" si="111"/>
        <v>0</v>
      </c>
      <c r="Y114" s="420">
        <f t="shared" si="112"/>
        <v>0</v>
      </c>
      <c r="Z114" s="421">
        <f t="shared" si="112"/>
        <v>0</v>
      </c>
      <c r="AA114" s="363">
        <f t="shared" si="113"/>
        <v>0</v>
      </c>
    </row>
    <row r="115" spans="1:28" ht="15.95">
      <c r="A115" s="720"/>
      <c r="B115" s="722"/>
      <c r="C115" s="409" t="s">
        <v>118</v>
      </c>
      <c r="D115" s="410">
        <f t="shared" si="114"/>
        <v>0</v>
      </c>
      <c r="E115" s="411">
        <f t="shared" si="94"/>
        <v>0</v>
      </c>
      <c r="F115" s="412">
        <f t="shared" si="115"/>
        <v>0</v>
      </c>
      <c r="G115" s="420">
        <f t="shared" ref="G115:H115" si="139">G14*G24</f>
        <v>1983920</v>
      </c>
      <c r="H115" s="421">
        <f t="shared" si="139"/>
        <v>1587136</v>
      </c>
      <c r="I115" s="363">
        <f t="shared" si="104"/>
        <v>-396784</v>
      </c>
      <c r="J115" s="420">
        <f t="shared" ref="J115:K115" si="140">J14*J24</f>
        <v>0</v>
      </c>
      <c r="K115" s="421">
        <f t="shared" si="140"/>
        <v>0</v>
      </c>
      <c r="L115" s="363">
        <f t="shared" si="106"/>
        <v>0</v>
      </c>
      <c r="M115" s="420">
        <f t="shared" ref="M115:N115" si="141">M14*M24</f>
        <v>0</v>
      </c>
      <c r="N115" s="421">
        <f t="shared" si="141"/>
        <v>0</v>
      </c>
      <c r="O115" s="363">
        <f t="shared" si="107"/>
        <v>0</v>
      </c>
      <c r="P115" s="419">
        <f t="shared" si="108"/>
        <v>0</v>
      </c>
      <c r="Q115" s="420">
        <f t="shared" si="108"/>
        <v>0</v>
      </c>
      <c r="R115" s="361">
        <f t="shared" si="119"/>
        <v>0</v>
      </c>
      <c r="S115" s="420">
        <f t="shared" si="120"/>
        <v>0</v>
      </c>
      <c r="T115" s="420">
        <f t="shared" si="120"/>
        <v>0</v>
      </c>
      <c r="U115" s="361">
        <f t="shared" si="109"/>
        <v>0</v>
      </c>
      <c r="V115" s="420">
        <f t="shared" si="110"/>
        <v>0</v>
      </c>
      <c r="W115" s="420">
        <f t="shared" si="110"/>
        <v>0</v>
      </c>
      <c r="X115" s="361">
        <f t="shared" si="111"/>
        <v>0</v>
      </c>
      <c r="Y115" s="420">
        <f t="shared" si="112"/>
        <v>0</v>
      </c>
      <c r="Z115" s="421">
        <f t="shared" si="112"/>
        <v>0</v>
      </c>
      <c r="AA115" s="363">
        <f t="shared" si="113"/>
        <v>0</v>
      </c>
    </row>
    <row r="116" spans="1:28" ht="17.100000000000001" thickBot="1">
      <c r="A116" s="721"/>
      <c r="B116" s="723"/>
      <c r="C116" s="422" t="s">
        <v>119</v>
      </c>
      <c r="D116" s="423">
        <f t="shared" si="114"/>
        <v>0</v>
      </c>
      <c r="E116" s="424">
        <f t="shared" si="94"/>
        <v>0</v>
      </c>
      <c r="F116" s="425">
        <f t="shared" si="115"/>
        <v>0</v>
      </c>
      <c r="G116" s="427">
        <f t="shared" ref="G116:H116" si="142">G15*G25</f>
        <v>1983920</v>
      </c>
      <c r="H116" s="428">
        <f t="shared" si="142"/>
        <v>1587136</v>
      </c>
      <c r="I116" s="372">
        <f t="shared" si="104"/>
        <v>-396784</v>
      </c>
      <c r="J116" s="427">
        <f t="shared" ref="J116:K116" si="143">J15*J25</f>
        <v>0</v>
      </c>
      <c r="K116" s="428">
        <f t="shared" si="143"/>
        <v>0</v>
      </c>
      <c r="L116" s="372">
        <f t="shared" si="106"/>
        <v>0</v>
      </c>
      <c r="M116" s="427">
        <f t="shared" ref="M116:N116" si="144">M15*M25</f>
        <v>0</v>
      </c>
      <c r="N116" s="428">
        <f t="shared" si="144"/>
        <v>0</v>
      </c>
      <c r="O116" s="372">
        <f t="shared" si="107"/>
        <v>0</v>
      </c>
      <c r="P116" s="426">
        <f t="shared" si="108"/>
        <v>0</v>
      </c>
      <c r="Q116" s="427">
        <f t="shared" si="108"/>
        <v>0</v>
      </c>
      <c r="R116" s="370">
        <f t="shared" si="119"/>
        <v>0</v>
      </c>
      <c r="S116" s="427">
        <f t="shared" si="120"/>
        <v>0</v>
      </c>
      <c r="T116" s="427">
        <f t="shared" si="120"/>
        <v>0</v>
      </c>
      <c r="U116" s="370">
        <f t="shared" si="109"/>
        <v>0</v>
      </c>
      <c r="V116" s="427">
        <f t="shared" si="110"/>
        <v>0</v>
      </c>
      <c r="W116" s="427">
        <f t="shared" si="110"/>
        <v>0</v>
      </c>
      <c r="X116" s="370">
        <f t="shared" si="111"/>
        <v>0</v>
      </c>
      <c r="Y116" s="427">
        <f t="shared" si="112"/>
        <v>0</v>
      </c>
      <c r="Z116" s="428">
        <f t="shared" si="112"/>
        <v>0</v>
      </c>
      <c r="AA116" s="372">
        <f t="shared" si="113"/>
        <v>0</v>
      </c>
    </row>
    <row r="117" spans="1:28" ht="15.95">
      <c r="A117" s="720" t="s">
        <v>170</v>
      </c>
      <c r="B117" s="722" t="s">
        <v>159</v>
      </c>
      <c r="C117" s="409" t="s">
        <v>110</v>
      </c>
      <c r="D117" s="410">
        <f>P117+S117+V117+Y117</f>
        <v>0</v>
      </c>
      <c r="E117" s="411">
        <f>Q117+T117+W117+Z117</f>
        <v>0</v>
      </c>
      <c r="F117" s="412">
        <f>R117+U117+X117+AA117</f>
        <v>0</v>
      </c>
      <c r="G117" s="430">
        <f t="shared" ref="G117:H117" si="145">G6*G26</f>
        <v>0</v>
      </c>
      <c r="H117" s="431">
        <f t="shared" si="145"/>
        <v>0</v>
      </c>
      <c r="I117" s="432">
        <f>H117-G117</f>
        <v>0</v>
      </c>
      <c r="J117" s="430">
        <f t="shared" ref="J117:K117" si="146">J6*J26</f>
        <v>0</v>
      </c>
      <c r="K117" s="431">
        <f t="shared" si="146"/>
        <v>0</v>
      </c>
      <c r="L117" s="432">
        <f>K117-J117</f>
        <v>0</v>
      </c>
      <c r="M117" s="430">
        <f>M6*M26</f>
        <v>0</v>
      </c>
      <c r="N117" s="431">
        <f>N6*N26</f>
        <v>0</v>
      </c>
      <c r="O117" s="432">
        <f>N117-M117</f>
        <v>0</v>
      </c>
      <c r="P117" s="429">
        <f t="shared" ref="P117:Q126" si="147">P6*P26</f>
        <v>0</v>
      </c>
      <c r="Q117" s="430">
        <f t="shared" si="147"/>
        <v>0</v>
      </c>
      <c r="R117" s="352">
        <f>Q117-P117</f>
        <v>0</v>
      </c>
      <c r="S117" s="430">
        <f>S6*S26</f>
        <v>0</v>
      </c>
      <c r="T117" s="430">
        <f>T6*T26</f>
        <v>0</v>
      </c>
      <c r="U117" s="352">
        <f>T117-S117</f>
        <v>0</v>
      </c>
      <c r="V117" s="430">
        <f t="shared" ref="V117:W126" si="148">V6*V26</f>
        <v>0</v>
      </c>
      <c r="W117" s="430">
        <f t="shared" si="148"/>
        <v>0</v>
      </c>
      <c r="X117" s="352">
        <f>W117-V117</f>
        <v>0</v>
      </c>
      <c r="Y117" s="430">
        <f t="shared" ref="Y117:Z126" si="149">Y6*Y26</f>
        <v>0</v>
      </c>
      <c r="Z117" s="431">
        <f t="shared" si="149"/>
        <v>0</v>
      </c>
      <c r="AA117" s="432">
        <f>Z117-Y117</f>
        <v>0</v>
      </c>
    </row>
    <row r="118" spans="1:28" ht="15.95">
      <c r="A118" s="720"/>
      <c r="B118" s="722"/>
      <c r="C118" s="409" t="s">
        <v>111</v>
      </c>
      <c r="D118" s="410">
        <f t="shared" ref="D118:D126" si="150">P118+S118+V118+Y118</f>
        <v>0</v>
      </c>
      <c r="E118" s="411">
        <f t="shared" ref="E118:E126" si="151">Q118+T118+W118+Z118</f>
        <v>0</v>
      </c>
      <c r="F118" s="412">
        <f t="shared" ref="F118:F126" si="152">R118+U118+X118+AA118</f>
        <v>0</v>
      </c>
      <c r="G118" s="420">
        <f t="shared" ref="G118:H118" si="153">G7*G27</f>
        <v>0</v>
      </c>
      <c r="H118" s="421">
        <f t="shared" si="153"/>
        <v>0</v>
      </c>
      <c r="I118" s="363">
        <f t="shared" ref="I118:I126" si="154">H118-G118</f>
        <v>0</v>
      </c>
      <c r="J118" s="420">
        <f t="shared" ref="J118:K118" si="155">J7*J27</f>
        <v>0</v>
      </c>
      <c r="K118" s="421">
        <f t="shared" si="155"/>
        <v>0</v>
      </c>
      <c r="L118" s="363">
        <f t="shared" ref="L118:L126" si="156">K118-J118</f>
        <v>0</v>
      </c>
      <c r="M118" s="420">
        <f t="shared" ref="M118:N118" si="157">M7*M27</f>
        <v>0</v>
      </c>
      <c r="N118" s="421">
        <f t="shared" si="157"/>
        <v>0</v>
      </c>
      <c r="O118" s="363">
        <f t="shared" ref="O118:O126" si="158">N118-M118</f>
        <v>0</v>
      </c>
      <c r="P118" s="419">
        <f t="shared" si="147"/>
        <v>0</v>
      </c>
      <c r="Q118" s="420">
        <f t="shared" si="147"/>
        <v>0</v>
      </c>
      <c r="R118" s="361">
        <f t="shared" ref="R118:R126" si="159">Q118-P118</f>
        <v>0</v>
      </c>
      <c r="S118" s="420">
        <f t="shared" ref="S118:T126" si="160">S7*S27</f>
        <v>0</v>
      </c>
      <c r="T118" s="420">
        <f t="shared" si="160"/>
        <v>0</v>
      </c>
      <c r="U118" s="361">
        <f t="shared" ref="U118:U126" si="161">T118-S118</f>
        <v>0</v>
      </c>
      <c r="V118" s="420">
        <f t="shared" si="148"/>
        <v>0</v>
      </c>
      <c r="W118" s="420">
        <f t="shared" si="148"/>
        <v>0</v>
      </c>
      <c r="X118" s="361">
        <f t="shared" ref="X118:X126" si="162">W118-V118</f>
        <v>0</v>
      </c>
      <c r="Y118" s="420">
        <f t="shared" si="149"/>
        <v>0</v>
      </c>
      <c r="Z118" s="421">
        <f t="shared" si="149"/>
        <v>0</v>
      </c>
      <c r="AA118" s="363">
        <f t="shared" ref="AA118:AA126" si="163">Z118-Y118</f>
        <v>0</v>
      </c>
    </row>
    <row r="119" spans="1:28" ht="15.95">
      <c r="A119" s="720"/>
      <c r="B119" s="722"/>
      <c r="C119" s="409" t="s">
        <v>112</v>
      </c>
      <c r="D119" s="410">
        <f t="shared" si="150"/>
        <v>0</v>
      </c>
      <c r="E119" s="411">
        <f t="shared" si="151"/>
        <v>0</v>
      </c>
      <c r="F119" s="412">
        <f t="shared" si="152"/>
        <v>0</v>
      </c>
      <c r="G119" s="420">
        <f t="shared" ref="G119:H119" si="164">G8*G28</f>
        <v>0</v>
      </c>
      <c r="H119" s="421">
        <f t="shared" si="164"/>
        <v>0</v>
      </c>
      <c r="I119" s="363">
        <f t="shared" si="154"/>
        <v>0</v>
      </c>
      <c r="J119" s="420">
        <f t="shared" ref="J119:K119" si="165">J8*J28</f>
        <v>0</v>
      </c>
      <c r="K119" s="421">
        <f t="shared" si="165"/>
        <v>0</v>
      </c>
      <c r="L119" s="363">
        <f t="shared" si="156"/>
        <v>0</v>
      </c>
      <c r="M119" s="420">
        <f t="shared" ref="M119:N119" si="166">M8*M28</f>
        <v>0</v>
      </c>
      <c r="N119" s="421">
        <f t="shared" si="166"/>
        <v>0</v>
      </c>
      <c r="O119" s="363">
        <f t="shared" si="158"/>
        <v>0</v>
      </c>
      <c r="P119" s="419">
        <f t="shared" si="147"/>
        <v>0</v>
      </c>
      <c r="Q119" s="420">
        <f t="shared" si="147"/>
        <v>0</v>
      </c>
      <c r="R119" s="361">
        <f t="shared" si="159"/>
        <v>0</v>
      </c>
      <c r="S119" s="420">
        <f t="shared" si="160"/>
        <v>0</v>
      </c>
      <c r="T119" s="420">
        <f t="shared" si="160"/>
        <v>0</v>
      </c>
      <c r="U119" s="361">
        <f t="shared" si="161"/>
        <v>0</v>
      </c>
      <c r="V119" s="420">
        <f t="shared" si="148"/>
        <v>0</v>
      </c>
      <c r="W119" s="420">
        <f t="shared" si="148"/>
        <v>0</v>
      </c>
      <c r="X119" s="361">
        <f t="shared" si="162"/>
        <v>0</v>
      </c>
      <c r="Y119" s="420">
        <f t="shared" si="149"/>
        <v>0</v>
      </c>
      <c r="Z119" s="421">
        <f t="shared" si="149"/>
        <v>0</v>
      </c>
      <c r="AA119" s="363">
        <f t="shared" si="163"/>
        <v>0</v>
      </c>
    </row>
    <row r="120" spans="1:28" ht="15.95">
      <c r="A120" s="720"/>
      <c r="B120" s="722"/>
      <c r="C120" s="409" t="s">
        <v>113</v>
      </c>
      <c r="D120" s="410">
        <f t="shared" si="150"/>
        <v>0</v>
      </c>
      <c r="E120" s="411">
        <f t="shared" si="151"/>
        <v>0</v>
      </c>
      <c r="F120" s="412">
        <f t="shared" si="152"/>
        <v>0</v>
      </c>
      <c r="G120" s="420">
        <f t="shared" ref="G120:H120" si="167">G9*G29</f>
        <v>0</v>
      </c>
      <c r="H120" s="421">
        <f t="shared" si="167"/>
        <v>0</v>
      </c>
      <c r="I120" s="363">
        <f t="shared" si="154"/>
        <v>0</v>
      </c>
      <c r="J120" s="420">
        <f t="shared" ref="J120:K120" si="168">J9*J29</f>
        <v>0</v>
      </c>
      <c r="K120" s="421">
        <f t="shared" si="168"/>
        <v>0</v>
      </c>
      <c r="L120" s="363">
        <f t="shared" si="156"/>
        <v>0</v>
      </c>
      <c r="M120" s="420">
        <f t="shared" ref="M120:N120" si="169">M9*M29</f>
        <v>0</v>
      </c>
      <c r="N120" s="421">
        <f t="shared" si="169"/>
        <v>0</v>
      </c>
      <c r="O120" s="363">
        <f t="shared" si="158"/>
        <v>0</v>
      </c>
      <c r="P120" s="419">
        <f t="shared" si="147"/>
        <v>0</v>
      </c>
      <c r="Q120" s="420">
        <f t="shared" si="147"/>
        <v>0</v>
      </c>
      <c r="R120" s="361">
        <f t="shared" si="159"/>
        <v>0</v>
      </c>
      <c r="S120" s="420">
        <f t="shared" si="160"/>
        <v>0</v>
      </c>
      <c r="T120" s="420">
        <f t="shared" si="160"/>
        <v>0</v>
      </c>
      <c r="U120" s="361">
        <f t="shared" si="161"/>
        <v>0</v>
      </c>
      <c r="V120" s="420">
        <f t="shared" si="148"/>
        <v>0</v>
      </c>
      <c r="W120" s="420">
        <f t="shared" si="148"/>
        <v>0</v>
      </c>
      <c r="X120" s="361">
        <f t="shared" si="162"/>
        <v>0</v>
      </c>
      <c r="Y120" s="420">
        <f t="shared" si="149"/>
        <v>0</v>
      </c>
      <c r="Z120" s="421">
        <f t="shared" si="149"/>
        <v>0</v>
      </c>
      <c r="AA120" s="363">
        <f t="shared" si="163"/>
        <v>0</v>
      </c>
    </row>
    <row r="121" spans="1:28" ht="15.95">
      <c r="A121" s="720"/>
      <c r="B121" s="722"/>
      <c r="C121" s="409" t="s">
        <v>114</v>
      </c>
      <c r="D121" s="410">
        <f t="shared" si="150"/>
        <v>0</v>
      </c>
      <c r="E121" s="411">
        <f t="shared" si="151"/>
        <v>0</v>
      </c>
      <c r="F121" s="412">
        <f t="shared" si="152"/>
        <v>0</v>
      </c>
      <c r="G121" s="420">
        <f t="shared" ref="G121:H121" si="170">G10*G30</f>
        <v>0</v>
      </c>
      <c r="H121" s="421">
        <f t="shared" si="170"/>
        <v>0</v>
      </c>
      <c r="I121" s="363">
        <f t="shared" si="154"/>
        <v>0</v>
      </c>
      <c r="J121" s="420">
        <f t="shared" ref="J121:K121" si="171">J10*J30</f>
        <v>0</v>
      </c>
      <c r="K121" s="421">
        <f t="shared" si="171"/>
        <v>0</v>
      </c>
      <c r="L121" s="363">
        <f t="shared" si="156"/>
        <v>0</v>
      </c>
      <c r="M121" s="420">
        <f t="shared" ref="M121:N121" si="172">M10*M30</f>
        <v>0</v>
      </c>
      <c r="N121" s="421">
        <f t="shared" si="172"/>
        <v>0</v>
      </c>
      <c r="O121" s="363">
        <f t="shared" si="158"/>
        <v>0</v>
      </c>
      <c r="P121" s="419">
        <f t="shared" si="147"/>
        <v>0</v>
      </c>
      <c r="Q121" s="420">
        <f t="shared" si="147"/>
        <v>0</v>
      </c>
      <c r="R121" s="361">
        <f t="shared" si="159"/>
        <v>0</v>
      </c>
      <c r="S121" s="420">
        <f t="shared" si="160"/>
        <v>0</v>
      </c>
      <c r="T121" s="420">
        <f t="shared" si="160"/>
        <v>0</v>
      </c>
      <c r="U121" s="361">
        <f t="shared" si="161"/>
        <v>0</v>
      </c>
      <c r="V121" s="420">
        <f t="shared" si="148"/>
        <v>0</v>
      </c>
      <c r="W121" s="420">
        <f t="shared" si="148"/>
        <v>0</v>
      </c>
      <c r="X121" s="361">
        <f t="shared" si="162"/>
        <v>0</v>
      </c>
      <c r="Y121" s="420">
        <f t="shared" si="149"/>
        <v>0</v>
      </c>
      <c r="Z121" s="421">
        <f t="shared" si="149"/>
        <v>0</v>
      </c>
      <c r="AA121" s="363">
        <f t="shared" si="163"/>
        <v>0</v>
      </c>
    </row>
    <row r="122" spans="1:28" ht="15.95">
      <c r="A122" s="720"/>
      <c r="B122" s="722"/>
      <c r="C122" s="409" t="s">
        <v>115</v>
      </c>
      <c r="D122" s="410">
        <f t="shared" si="150"/>
        <v>0</v>
      </c>
      <c r="E122" s="411">
        <f t="shared" si="151"/>
        <v>0</v>
      </c>
      <c r="F122" s="412">
        <f t="shared" si="152"/>
        <v>0</v>
      </c>
      <c r="G122" s="420">
        <f t="shared" ref="G122:H122" si="173">G11*G31</f>
        <v>0</v>
      </c>
      <c r="H122" s="421">
        <f t="shared" si="173"/>
        <v>0</v>
      </c>
      <c r="I122" s="363">
        <f t="shared" si="154"/>
        <v>0</v>
      </c>
      <c r="J122" s="420">
        <f t="shared" ref="J122:K122" si="174">J11*J31</f>
        <v>0</v>
      </c>
      <c r="K122" s="421">
        <f t="shared" si="174"/>
        <v>0</v>
      </c>
      <c r="L122" s="363">
        <f t="shared" si="156"/>
        <v>0</v>
      </c>
      <c r="M122" s="420">
        <f t="shared" ref="M122:N122" si="175">M11*M31</f>
        <v>0</v>
      </c>
      <c r="N122" s="421">
        <f t="shared" si="175"/>
        <v>0</v>
      </c>
      <c r="O122" s="363">
        <f t="shared" si="158"/>
        <v>0</v>
      </c>
      <c r="P122" s="419">
        <f t="shared" si="147"/>
        <v>0</v>
      </c>
      <c r="Q122" s="420">
        <f t="shared" si="147"/>
        <v>0</v>
      </c>
      <c r="R122" s="361">
        <f t="shared" si="159"/>
        <v>0</v>
      </c>
      <c r="S122" s="420">
        <f t="shared" si="160"/>
        <v>0</v>
      </c>
      <c r="T122" s="420">
        <f t="shared" si="160"/>
        <v>0</v>
      </c>
      <c r="U122" s="361">
        <f t="shared" si="161"/>
        <v>0</v>
      </c>
      <c r="V122" s="420">
        <f t="shared" si="148"/>
        <v>0</v>
      </c>
      <c r="W122" s="420">
        <f t="shared" si="148"/>
        <v>0</v>
      </c>
      <c r="X122" s="361">
        <f t="shared" si="162"/>
        <v>0</v>
      </c>
      <c r="Y122" s="420">
        <f t="shared" si="149"/>
        <v>0</v>
      </c>
      <c r="Z122" s="421">
        <f t="shared" si="149"/>
        <v>0</v>
      </c>
      <c r="AA122" s="363">
        <f t="shared" si="163"/>
        <v>0</v>
      </c>
    </row>
    <row r="123" spans="1:28" ht="15.95">
      <c r="A123" s="720"/>
      <c r="B123" s="722"/>
      <c r="C123" s="409" t="s">
        <v>116</v>
      </c>
      <c r="D123" s="410">
        <f t="shared" si="150"/>
        <v>0</v>
      </c>
      <c r="E123" s="411">
        <f t="shared" si="151"/>
        <v>0</v>
      </c>
      <c r="F123" s="412">
        <f t="shared" si="152"/>
        <v>0</v>
      </c>
      <c r="G123" s="420">
        <f t="shared" ref="G123:H123" si="176">G12*G32</f>
        <v>0</v>
      </c>
      <c r="H123" s="421">
        <f t="shared" si="176"/>
        <v>0</v>
      </c>
      <c r="I123" s="363">
        <f t="shared" si="154"/>
        <v>0</v>
      </c>
      <c r="J123" s="420">
        <f t="shared" ref="J123:K123" si="177">J12*J32</f>
        <v>0</v>
      </c>
      <c r="K123" s="421">
        <f t="shared" si="177"/>
        <v>0</v>
      </c>
      <c r="L123" s="363">
        <f t="shared" si="156"/>
        <v>0</v>
      </c>
      <c r="M123" s="420">
        <f t="shared" ref="M123:N123" si="178">M12*M32</f>
        <v>0</v>
      </c>
      <c r="N123" s="421">
        <f t="shared" si="178"/>
        <v>0</v>
      </c>
      <c r="O123" s="363">
        <f t="shared" si="158"/>
        <v>0</v>
      </c>
      <c r="P123" s="419">
        <f t="shared" si="147"/>
        <v>0</v>
      </c>
      <c r="Q123" s="420">
        <f t="shared" si="147"/>
        <v>0</v>
      </c>
      <c r="R123" s="361">
        <f t="shared" si="159"/>
        <v>0</v>
      </c>
      <c r="S123" s="420">
        <f t="shared" si="160"/>
        <v>0</v>
      </c>
      <c r="T123" s="420">
        <f t="shared" si="160"/>
        <v>0</v>
      </c>
      <c r="U123" s="361">
        <f t="shared" si="161"/>
        <v>0</v>
      </c>
      <c r="V123" s="420">
        <f t="shared" si="148"/>
        <v>0</v>
      </c>
      <c r="W123" s="420">
        <f t="shared" si="148"/>
        <v>0</v>
      </c>
      <c r="X123" s="361">
        <f t="shared" si="162"/>
        <v>0</v>
      </c>
      <c r="Y123" s="420">
        <f t="shared" si="149"/>
        <v>0</v>
      </c>
      <c r="Z123" s="421">
        <f t="shared" si="149"/>
        <v>0</v>
      </c>
      <c r="AA123" s="363">
        <f t="shared" si="163"/>
        <v>0</v>
      </c>
    </row>
    <row r="124" spans="1:28" ht="15.95">
      <c r="A124" s="720"/>
      <c r="B124" s="722"/>
      <c r="C124" s="409" t="s">
        <v>117</v>
      </c>
      <c r="D124" s="410">
        <f t="shared" si="150"/>
        <v>0</v>
      </c>
      <c r="E124" s="411">
        <f t="shared" si="151"/>
        <v>0</v>
      </c>
      <c r="F124" s="412">
        <f t="shared" si="152"/>
        <v>0</v>
      </c>
      <c r="G124" s="420">
        <f t="shared" ref="G124:H124" si="179">G13*G33</f>
        <v>0</v>
      </c>
      <c r="H124" s="421">
        <f t="shared" si="179"/>
        <v>0</v>
      </c>
      <c r="I124" s="363">
        <f t="shared" si="154"/>
        <v>0</v>
      </c>
      <c r="J124" s="420">
        <f t="shared" ref="J124:K124" si="180">J13*J33</f>
        <v>0</v>
      </c>
      <c r="K124" s="421">
        <f t="shared" si="180"/>
        <v>0</v>
      </c>
      <c r="L124" s="363">
        <f t="shared" si="156"/>
        <v>0</v>
      </c>
      <c r="M124" s="420">
        <f t="shared" ref="M124:N124" si="181">M13*M33</f>
        <v>0</v>
      </c>
      <c r="N124" s="421">
        <f t="shared" si="181"/>
        <v>0</v>
      </c>
      <c r="O124" s="363">
        <f t="shared" si="158"/>
        <v>0</v>
      </c>
      <c r="P124" s="419">
        <f t="shared" si="147"/>
        <v>0</v>
      </c>
      <c r="Q124" s="420">
        <f t="shared" si="147"/>
        <v>0</v>
      </c>
      <c r="R124" s="361">
        <f t="shared" si="159"/>
        <v>0</v>
      </c>
      <c r="S124" s="420">
        <f t="shared" si="160"/>
        <v>0</v>
      </c>
      <c r="T124" s="420">
        <f t="shared" si="160"/>
        <v>0</v>
      </c>
      <c r="U124" s="361">
        <f t="shared" si="161"/>
        <v>0</v>
      </c>
      <c r="V124" s="420">
        <f t="shared" si="148"/>
        <v>0</v>
      </c>
      <c r="W124" s="420">
        <f t="shared" si="148"/>
        <v>0</v>
      </c>
      <c r="X124" s="361">
        <f t="shared" si="162"/>
        <v>0</v>
      </c>
      <c r="Y124" s="420">
        <f t="shared" si="149"/>
        <v>0</v>
      </c>
      <c r="Z124" s="421">
        <f t="shared" si="149"/>
        <v>0</v>
      </c>
      <c r="AA124" s="363">
        <f t="shared" si="163"/>
        <v>0</v>
      </c>
    </row>
    <row r="125" spans="1:28" ht="15.95">
      <c r="A125" s="720"/>
      <c r="B125" s="722"/>
      <c r="C125" s="409" t="s">
        <v>118</v>
      </c>
      <c r="D125" s="410">
        <f t="shared" si="150"/>
        <v>0</v>
      </c>
      <c r="E125" s="411">
        <f t="shared" si="151"/>
        <v>0</v>
      </c>
      <c r="F125" s="412">
        <f t="shared" si="152"/>
        <v>0</v>
      </c>
      <c r="G125" s="420">
        <f t="shared" ref="G125:H125" si="182">G14*G34</f>
        <v>0</v>
      </c>
      <c r="H125" s="421">
        <f t="shared" si="182"/>
        <v>0</v>
      </c>
      <c r="I125" s="363">
        <f t="shared" si="154"/>
        <v>0</v>
      </c>
      <c r="J125" s="420">
        <f t="shared" ref="J125:K125" si="183">J14*J34</f>
        <v>0</v>
      </c>
      <c r="K125" s="421">
        <f t="shared" si="183"/>
        <v>0</v>
      </c>
      <c r="L125" s="363">
        <f t="shared" si="156"/>
        <v>0</v>
      </c>
      <c r="M125" s="420">
        <f t="shared" ref="M125:N125" si="184">M14*M34</f>
        <v>0</v>
      </c>
      <c r="N125" s="421">
        <f t="shared" si="184"/>
        <v>0</v>
      </c>
      <c r="O125" s="363">
        <f t="shared" si="158"/>
        <v>0</v>
      </c>
      <c r="P125" s="419">
        <f t="shared" si="147"/>
        <v>0</v>
      </c>
      <c r="Q125" s="420">
        <f t="shared" si="147"/>
        <v>0</v>
      </c>
      <c r="R125" s="361">
        <f t="shared" si="159"/>
        <v>0</v>
      </c>
      <c r="S125" s="420">
        <f t="shared" si="160"/>
        <v>0</v>
      </c>
      <c r="T125" s="420">
        <f t="shared" si="160"/>
        <v>0</v>
      </c>
      <c r="U125" s="361">
        <f t="shared" si="161"/>
        <v>0</v>
      </c>
      <c r="V125" s="420">
        <f t="shared" si="148"/>
        <v>0</v>
      </c>
      <c r="W125" s="420">
        <f t="shared" si="148"/>
        <v>0</v>
      </c>
      <c r="X125" s="361">
        <f t="shared" si="162"/>
        <v>0</v>
      </c>
      <c r="Y125" s="420">
        <f t="shared" si="149"/>
        <v>0</v>
      </c>
      <c r="Z125" s="421">
        <f t="shared" si="149"/>
        <v>0</v>
      </c>
      <c r="AA125" s="363">
        <f t="shared" si="163"/>
        <v>0</v>
      </c>
    </row>
    <row r="126" spans="1:28" ht="17.100000000000001" thickBot="1">
      <c r="A126" s="721"/>
      <c r="B126" s="723"/>
      <c r="C126" s="422" t="s">
        <v>119</v>
      </c>
      <c r="D126" s="423">
        <f t="shared" si="150"/>
        <v>0</v>
      </c>
      <c r="E126" s="424">
        <f t="shared" si="151"/>
        <v>0</v>
      </c>
      <c r="F126" s="425">
        <f t="shared" si="152"/>
        <v>0</v>
      </c>
      <c r="G126" s="427">
        <f t="shared" ref="G126:H126" si="185">G15*G35</f>
        <v>0</v>
      </c>
      <c r="H126" s="428">
        <f t="shared" si="185"/>
        <v>0</v>
      </c>
      <c r="I126" s="372">
        <f t="shared" si="154"/>
        <v>0</v>
      </c>
      <c r="J126" s="427">
        <f t="shared" ref="J126:K126" si="186">J15*J35</f>
        <v>0</v>
      </c>
      <c r="K126" s="428">
        <f t="shared" si="186"/>
        <v>0</v>
      </c>
      <c r="L126" s="372">
        <f t="shared" si="156"/>
        <v>0</v>
      </c>
      <c r="M126" s="427">
        <f t="shared" ref="M126:N126" si="187">M15*M35</f>
        <v>0</v>
      </c>
      <c r="N126" s="428">
        <f t="shared" si="187"/>
        <v>0</v>
      </c>
      <c r="O126" s="372">
        <f t="shared" si="158"/>
        <v>0</v>
      </c>
      <c r="P126" s="426">
        <f t="shared" si="147"/>
        <v>0</v>
      </c>
      <c r="Q126" s="427">
        <f t="shared" si="147"/>
        <v>0</v>
      </c>
      <c r="R126" s="370">
        <f t="shared" si="159"/>
        <v>0</v>
      </c>
      <c r="S126" s="427">
        <f t="shared" si="160"/>
        <v>0</v>
      </c>
      <c r="T126" s="427">
        <f t="shared" si="160"/>
        <v>0</v>
      </c>
      <c r="U126" s="370">
        <f t="shared" si="161"/>
        <v>0</v>
      </c>
      <c r="V126" s="427">
        <f t="shared" si="148"/>
        <v>0</v>
      </c>
      <c r="W126" s="427">
        <f t="shared" si="148"/>
        <v>0</v>
      </c>
      <c r="X126" s="370">
        <f t="shared" si="162"/>
        <v>0</v>
      </c>
      <c r="Y126" s="427">
        <f t="shared" si="149"/>
        <v>0</v>
      </c>
      <c r="Z126" s="428">
        <f t="shared" si="149"/>
        <v>0</v>
      </c>
      <c r="AA126" s="372">
        <f t="shared" si="163"/>
        <v>0</v>
      </c>
    </row>
    <row r="127" spans="1:28" ht="15.95">
      <c r="A127" s="720" t="s">
        <v>94</v>
      </c>
      <c r="B127" s="722" t="s">
        <v>159</v>
      </c>
      <c r="C127" s="409" t="s">
        <v>110</v>
      </c>
      <c r="D127" s="410">
        <f>P127+S127+V127+Y127</f>
        <v>0</v>
      </c>
      <c r="E127" s="411">
        <f>Q127+T127+W127+Z127</f>
        <v>0</v>
      </c>
      <c r="F127" s="412">
        <f>R127+U127+X127+AA127</f>
        <v>0</v>
      </c>
      <c r="G127" s="430">
        <f t="shared" ref="G127:G136" si="188">G56</f>
        <v>0</v>
      </c>
      <c r="H127" s="431">
        <f t="shared" ref="H127:H136" si="189">H56*(1+$AB$127)</f>
        <v>0</v>
      </c>
      <c r="I127" s="432">
        <f>H127-G127</f>
        <v>0</v>
      </c>
      <c r="J127" s="430">
        <f t="shared" ref="J127:J136" si="190">J56</f>
        <v>0</v>
      </c>
      <c r="K127" s="431">
        <f t="shared" ref="K127:K136" si="191">K56*(1+$AB$127)</f>
        <v>0</v>
      </c>
      <c r="L127" s="432">
        <f>K127-J127</f>
        <v>0</v>
      </c>
      <c r="M127" s="430">
        <f t="shared" ref="M127:M136" si="192">M56</f>
        <v>0</v>
      </c>
      <c r="N127" s="431">
        <f t="shared" ref="N127:N136" si="193">N56*(1+$AB$127)</f>
        <v>0</v>
      </c>
      <c r="O127" s="432">
        <f>N127-M127</f>
        <v>0</v>
      </c>
      <c r="P127" s="429">
        <f>P56</f>
        <v>0</v>
      </c>
      <c r="Q127" s="430">
        <f>Q56*(1+$AB$127)</f>
        <v>0</v>
      </c>
      <c r="R127" s="352">
        <f>Q127-P127</f>
        <v>0</v>
      </c>
      <c r="S127" s="430">
        <f t="shared" ref="S127:S136" si="194">S56</f>
        <v>0</v>
      </c>
      <c r="T127" s="430">
        <f t="shared" ref="T127:T136" si="195">T56*(1+$AB$127)</f>
        <v>0</v>
      </c>
      <c r="U127" s="352">
        <f>T127-S127</f>
        <v>0</v>
      </c>
      <c r="V127" s="430">
        <f t="shared" ref="V127:V136" si="196">V56</f>
        <v>0</v>
      </c>
      <c r="W127" s="430">
        <f t="shared" ref="W127:W136" si="197">W56*(1+$AB$127)</f>
        <v>0</v>
      </c>
      <c r="X127" s="352">
        <f>W127-V127</f>
        <v>0</v>
      </c>
      <c r="Y127" s="430">
        <f t="shared" ref="Y127:Y136" si="198">Y56</f>
        <v>0</v>
      </c>
      <c r="Z127" s="431">
        <f t="shared" ref="Z127:Z136" si="199">Z56*(1+$AB$127)</f>
        <v>0</v>
      </c>
      <c r="AA127" s="432">
        <f>Z127-Y127</f>
        <v>0</v>
      </c>
      <c r="AB127" s="355">
        <f>'Analyza citlivosti - AgendovéIS'!H7</f>
        <v>0</v>
      </c>
    </row>
    <row r="128" spans="1:28" ht="15.95">
      <c r="A128" s="720"/>
      <c r="B128" s="722"/>
      <c r="C128" s="409" t="s">
        <v>111</v>
      </c>
      <c r="D128" s="410">
        <f t="shared" ref="D128:D136" si="200">P128+S128+V128+Y128</f>
        <v>0</v>
      </c>
      <c r="E128" s="411">
        <f t="shared" ref="E128:E136" si="201">Q128+T128+W128+Z128</f>
        <v>0</v>
      </c>
      <c r="F128" s="412">
        <f t="shared" ref="F128:F136" si="202">R128+U128+X128+AA128</f>
        <v>0</v>
      </c>
      <c r="G128" s="420">
        <f t="shared" si="188"/>
        <v>0</v>
      </c>
      <c r="H128" s="421">
        <f t="shared" si="189"/>
        <v>0</v>
      </c>
      <c r="I128" s="363">
        <f t="shared" ref="I128:I136" si="203">H128-G128</f>
        <v>0</v>
      </c>
      <c r="J128" s="420">
        <f t="shared" si="190"/>
        <v>0</v>
      </c>
      <c r="K128" s="421">
        <f t="shared" si="191"/>
        <v>0</v>
      </c>
      <c r="L128" s="363">
        <f t="shared" ref="L128:L136" si="204">K128-J128</f>
        <v>0</v>
      </c>
      <c r="M128" s="420">
        <f t="shared" si="192"/>
        <v>0</v>
      </c>
      <c r="N128" s="421">
        <f t="shared" si="193"/>
        <v>0</v>
      </c>
      <c r="O128" s="363">
        <f t="shared" ref="O128:O136" si="205">N128-M128</f>
        <v>0</v>
      </c>
      <c r="P128" s="419">
        <f t="shared" ref="P128:P136" si="206">P57</f>
        <v>0</v>
      </c>
      <c r="Q128" s="420">
        <f t="shared" ref="Q128:Q136" si="207">Q57*(1+$AB$127)</f>
        <v>0</v>
      </c>
      <c r="R128" s="361">
        <f t="shared" ref="R128:R136" si="208">Q128-P128</f>
        <v>0</v>
      </c>
      <c r="S128" s="420">
        <f t="shared" si="194"/>
        <v>0</v>
      </c>
      <c r="T128" s="420">
        <f t="shared" si="195"/>
        <v>0</v>
      </c>
      <c r="U128" s="361">
        <f t="shared" ref="U128:U136" si="209">T128-S128</f>
        <v>0</v>
      </c>
      <c r="V128" s="420">
        <f t="shared" si="196"/>
        <v>0</v>
      </c>
      <c r="W128" s="420">
        <f t="shared" si="197"/>
        <v>0</v>
      </c>
      <c r="X128" s="361">
        <f t="shared" ref="X128:X136" si="210">W128-V128</f>
        <v>0</v>
      </c>
      <c r="Y128" s="420">
        <f t="shared" si="198"/>
        <v>0</v>
      </c>
      <c r="Z128" s="421">
        <f t="shared" si="199"/>
        <v>0</v>
      </c>
      <c r="AA128" s="363">
        <f t="shared" ref="AA128:AA136" si="211">Z128-Y128</f>
        <v>0</v>
      </c>
    </row>
    <row r="129" spans="1:27" ht="15.95">
      <c r="A129" s="720"/>
      <c r="B129" s="722"/>
      <c r="C129" s="409" t="s">
        <v>112</v>
      </c>
      <c r="D129" s="410">
        <f t="shared" si="200"/>
        <v>0</v>
      </c>
      <c r="E129" s="411">
        <f t="shared" si="201"/>
        <v>0</v>
      </c>
      <c r="F129" s="412">
        <f t="shared" si="202"/>
        <v>0</v>
      </c>
      <c r="G129" s="420">
        <f t="shared" si="188"/>
        <v>0</v>
      </c>
      <c r="H129" s="421">
        <f t="shared" si="189"/>
        <v>0</v>
      </c>
      <c r="I129" s="363">
        <f t="shared" si="203"/>
        <v>0</v>
      </c>
      <c r="J129" s="420">
        <f t="shared" si="190"/>
        <v>0</v>
      </c>
      <c r="K129" s="421">
        <f t="shared" si="191"/>
        <v>0</v>
      </c>
      <c r="L129" s="363">
        <f t="shared" si="204"/>
        <v>0</v>
      </c>
      <c r="M129" s="420">
        <f t="shared" si="192"/>
        <v>0</v>
      </c>
      <c r="N129" s="421">
        <f t="shared" si="193"/>
        <v>0</v>
      </c>
      <c r="O129" s="363">
        <f t="shared" si="205"/>
        <v>0</v>
      </c>
      <c r="P129" s="419">
        <f t="shared" si="206"/>
        <v>0</v>
      </c>
      <c r="Q129" s="420">
        <f t="shared" si="207"/>
        <v>0</v>
      </c>
      <c r="R129" s="361">
        <f t="shared" si="208"/>
        <v>0</v>
      </c>
      <c r="S129" s="420">
        <f t="shared" si="194"/>
        <v>0</v>
      </c>
      <c r="T129" s="420">
        <f t="shared" si="195"/>
        <v>0</v>
      </c>
      <c r="U129" s="361">
        <f t="shared" si="209"/>
        <v>0</v>
      </c>
      <c r="V129" s="420">
        <f t="shared" si="196"/>
        <v>0</v>
      </c>
      <c r="W129" s="420">
        <f t="shared" si="197"/>
        <v>0</v>
      </c>
      <c r="X129" s="361">
        <f t="shared" si="210"/>
        <v>0</v>
      </c>
      <c r="Y129" s="420">
        <f t="shared" si="198"/>
        <v>0</v>
      </c>
      <c r="Z129" s="421">
        <f t="shared" si="199"/>
        <v>0</v>
      </c>
      <c r="AA129" s="363">
        <f t="shared" si="211"/>
        <v>0</v>
      </c>
    </row>
    <row r="130" spans="1:27" ht="15.95">
      <c r="A130" s="720"/>
      <c r="B130" s="722"/>
      <c r="C130" s="409" t="s">
        <v>113</v>
      </c>
      <c r="D130" s="410">
        <f t="shared" si="200"/>
        <v>0</v>
      </c>
      <c r="E130" s="411">
        <f t="shared" si="201"/>
        <v>0</v>
      </c>
      <c r="F130" s="412">
        <f t="shared" si="202"/>
        <v>0</v>
      </c>
      <c r="G130" s="420">
        <f t="shared" si="188"/>
        <v>0</v>
      </c>
      <c r="H130" s="421">
        <f t="shared" si="189"/>
        <v>0</v>
      </c>
      <c r="I130" s="363">
        <f t="shared" si="203"/>
        <v>0</v>
      </c>
      <c r="J130" s="420">
        <f t="shared" si="190"/>
        <v>0</v>
      </c>
      <c r="K130" s="421">
        <f t="shared" si="191"/>
        <v>0</v>
      </c>
      <c r="L130" s="363">
        <f t="shared" si="204"/>
        <v>0</v>
      </c>
      <c r="M130" s="420">
        <f t="shared" si="192"/>
        <v>0</v>
      </c>
      <c r="N130" s="421">
        <f t="shared" si="193"/>
        <v>0</v>
      </c>
      <c r="O130" s="363">
        <f t="shared" si="205"/>
        <v>0</v>
      </c>
      <c r="P130" s="419">
        <f t="shared" si="206"/>
        <v>0</v>
      </c>
      <c r="Q130" s="420">
        <f t="shared" si="207"/>
        <v>0</v>
      </c>
      <c r="R130" s="361">
        <f t="shared" si="208"/>
        <v>0</v>
      </c>
      <c r="S130" s="420">
        <f t="shared" si="194"/>
        <v>0</v>
      </c>
      <c r="T130" s="420">
        <f t="shared" si="195"/>
        <v>0</v>
      </c>
      <c r="U130" s="361">
        <f t="shared" si="209"/>
        <v>0</v>
      </c>
      <c r="V130" s="420">
        <f t="shared" si="196"/>
        <v>0</v>
      </c>
      <c r="W130" s="420">
        <f t="shared" si="197"/>
        <v>0</v>
      </c>
      <c r="X130" s="361">
        <f t="shared" si="210"/>
        <v>0</v>
      </c>
      <c r="Y130" s="420">
        <f t="shared" si="198"/>
        <v>0</v>
      </c>
      <c r="Z130" s="421">
        <f t="shared" si="199"/>
        <v>0</v>
      </c>
      <c r="AA130" s="363">
        <f t="shared" si="211"/>
        <v>0</v>
      </c>
    </row>
    <row r="131" spans="1:27" ht="15.95">
      <c r="A131" s="720"/>
      <c r="B131" s="722"/>
      <c r="C131" s="409" t="s">
        <v>114</v>
      </c>
      <c r="D131" s="410">
        <f t="shared" si="200"/>
        <v>0</v>
      </c>
      <c r="E131" s="411">
        <f t="shared" si="201"/>
        <v>0</v>
      </c>
      <c r="F131" s="412">
        <f t="shared" si="202"/>
        <v>0</v>
      </c>
      <c r="G131" s="420">
        <f t="shared" si="188"/>
        <v>0</v>
      </c>
      <c r="H131" s="421">
        <f t="shared" si="189"/>
        <v>0</v>
      </c>
      <c r="I131" s="363">
        <f t="shared" si="203"/>
        <v>0</v>
      </c>
      <c r="J131" s="420">
        <f t="shared" si="190"/>
        <v>0</v>
      </c>
      <c r="K131" s="421">
        <f t="shared" si="191"/>
        <v>0</v>
      </c>
      <c r="L131" s="363">
        <f t="shared" si="204"/>
        <v>0</v>
      </c>
      <c r="M131" s="420">
        <f t="shared" si="192"/>
        <v>0</v>
      </c>
      <c r="N131" s="421">
        <f t="shared" si="193"/>
        <v>0</v>
      </c>
      <c r="O131" s="363">
        <f t="shared" si="205"/>
        <v>0</v>
      </c>
      <c r="P131" s="419">
        <f t="shared" si="206"/>
        <v>0</v>
      </c>
      <c r="Q131" s="420">
        <f t="shared" si="207"/>
        <v>0</v>
      </c>
      <c r="R131" s="361">
        <f t="shared" si="208"/>
        <v>0</v>
      </c>
      <c r="S131" s="420">
        <f t="shared" si="194"/>
        <v>0</v>
      </c>
      <c r="T131" s="420">
        <f t="shared" si="195"/>
        <v>0</v>
      </c>
      <c r="U131" s="361">
        <f t="shared" si="209"/>
        <v>0</v>
      </c>
      <c r="V131" s="420">
        <f t="shared" si="196"/>
        <v>0</v>
      </c>
      <c r="W131" s="420">
        <f t="shared" si="197"/>
        <v>0</v>
      </c>
      <c r="X131" s="361">
        <f t="shared" si="210"/>
        <v>0</v>
      </c>
      <c r="Y131" s="420">
        <f t="shared" si="198"/>
        <v>0</v>
      </c>
      <c r="Z131" s="421">
        <f t="shared" si="199"/>
        <v>0</v>
      </c>
      <c r="AA131" s="363">
        <f t="shared" si="211"/>
        <v>0</v>
      </c>
    </row>
    <row r="132" spans="1:27" ht="15.95">
      <c r="A132" s="720"/>
      <c r="B132" s="722"/>
      <c r="C132" s="409" t="s">
        <v>115</v>
      </c>
      <c r="D132" s="410">
        <f t="shared" si="200"/>
        <v>0</v>
      </c>
      <c r="E132" s="411">
        <f t="shared" si="201"/>
        <v>0</v>
      </c>
      <c r="F132" s="412">
        <f t="shared" si="202"/>
        <v>0</v>
      </c>
      <c r="G132" s="420">
        <f t="shared" si="188"/>
        <v>0</v>
      </c>
      <c r="H132" s="421">
        <f t="shared" si="189"/>
        <v>0</v>
      </c>
      <c r="I132" s="363">
        <f t="shared" si="203"/>
        <v>0</v>
      </c>
      <c r="J132" s="420">
        <f t="shared" si="190"/>
        <v>0</v>
      </c>
      <c r="K132" s="421">
        <f t="shared" si="191"/>
        <v>0</v>
      </c>
      <c r="L132" s="363">
        <f t="shared" si="204"/>
        <v>0</v>
      </c>
      <c r="M132" s="420">
        <f t="shared" si="192"/>
        <v>0</v>
      </c>
      <c r="N132" s="421">
        <f t="shared" si="193"/>
        <v>0</v>
      </c>
      <c r="O132" s="363">
        <f t="shared" si="205"/>
        <v>0</v>
      </c>
      <c r="P132" s="419">
        <f t="shared" si="206"/>
        <v>0</v>
      </c>
      <c r="Q132" s="420">
        <f t="shared" si="207"/>
        <v>0</v>
      </c>
      <c r="R132" s="361">
        <f t="shared" si="208"/>
        <v>0</v>
      </c>
      <c r="S132" s="420">
        <f t="shared" si="194"/>
        <v>0</v>
      </c>
      <c r="T132" s="420">
        <f t="shared" si="195"/>
        <v>0</v>
      </c>
      <c r="U132" s="361">
        <f t="shared" si="209"/>
        <v>0</v>
      </c>
      <c r="V132" s="420">
        <f t="shared" si="196"/>
        <v>0</v>
      </c>
      <c r="W132" s="420">
        <f t="shared" si="197"/>
        <v>0</v>
      </c>
      <c r="X132" s="361">
        <f t="shared" si="210"/>
        <v>0</v>
      </c>
      <c r="Y132" s="420">
        <f t="shared" si="198"/>
        <v>0</v>
      </c>
      <c r="Z132" s="421">
        <f t="shared" si="199"/>
        <v>0</v>
      </c>
      <c r="AA132" s="363">
        <f t="shared" si="211"/>
        <v>0</v>
      </c>
    </row>
    <row r="133" spans="1:27" ht="15.95">
      <c r="A133" s="720"/>
      <c r="B133" s="722"/>
      <c r="C133" s="409" t="s">
        <v>116</v>
      </c>
      <c r="D133" s="410">
        <f t="shared" si="200"/>
        <v>0</v>
      </c>
      <c r="E133" s="411">
        <f t="shared" si="201"/>
        <v>0</v>
      </c>
      <c r="F133" s="412">
        <f t="shared" si="202"/>
        <v>0</v>
      </c>
      <c r="G133" s="420">
        <f t="shared" si="188"/>
        <v>0</v>
      </c>
      <c r="H133" s="421">
        <f t="shared" si="189"/>
        <v>0</v>
      </c>
      <c r="I133" s="363">
        <f t="shared" si="203"/>
        <v>0</v>
      </c>
      <c r="J133" s="420">
        <f t="shared" si="190"/>
        <v>0</v>
      </c>
      <c r="K133" s="421">
        <f t="shared" si="191"/>
        <v>0</v>
      </c>
      <c r="L133" s="363">
        <f t="shared" si="204"/>
        <v>0</v>
      </c>
      <c r="M133" s="420">
        <f t="shared" si="192"/>
        <v>0</v>
      </c>
      <c r="N133" s="421">
        <f t="shared" si="193"/>
        <v>0</v>
      </c>
      <c r="O133" s="363">
        <f t="shared" si="205"/>
        <v>0</v>
      </c>
      <c r="P133" s="419">
        <f t="shared" si="206"/>
        <v>0</v>
      </c>
      <c r="Q133" s="420">
        <f t="shared" si="207"/>
        <v>0</v>
      </c>
      <c r="R133" s="361">
        <f t="shared" si="208"/>
        <v>0</v>
      </c>
      <c r="S133" s="420">
        <f t="shared" si="194"/>
        <v>0</v>
      </c>
      <c r="T133" s="420">
        <f t="shared" si="195"/>
        <v>0</v>
      </c>
      <c r="U133" s="361">
        <f t="shared" si="209"/>
        <v>0</v>
      </c>
      <c r="V133" s="420">
        <f t="shared" si="196"/>
        <v>0</v>
      </c>
      <c r="W133" s="420">
        <f t="shared" si="197"/>
        <v>0</v>
      </c>
      <c r="X133" s="361">
        <f t="shared" si="210"/>
        <v>0</v>
      </c>
      <c r="Y133" s="420">
        <f t="shared" si="198"/>
        <v>0</v>
      </c>
      <c r="Z133" s="421">
        <f t="shared" si="199"/>
        <v>0</v>
      </c>
      <c r="AA133" s="363">
        <f t="shared" si="211"/>
        <v>0</v>
      </c>
    </row>
    <row r="134" spans="1:27" ht="15.95">
      <c r="A134" s="720"/>
      <c r="B134" s="722"/>
      <c r="C134" s="409" t="s">
        <v>117</v>
      </c>
      <c r="D134" s="410">
        <f t="shared" si="200"/>
        <v>0</v>
      </c>
      <c r="E134" s="411">
        <f t="shared" si="201"/>
        <v>0</v>
      </c>
      <c r="F134" s="412">
        <f t="shared" si="202"/>
        <v>0</v>
      </c>
      <c r="G134" s="420">
        <f t="shared" si="188"/>
        <v>0</v>
      </c>
      <c r="H134" s="421">
        <f t="shared" si="189"/>
        <v>0</v>
      </c>
      <c r="I134" s="363">
        <f t="shared" si="203"/>
        <v>0</v>
      </c>
      <c r="J134" s="420">
        <f t="shared" si="190"/>
        <v>0</v>
      </c>
      <c r="K134" s="421">
        <f t="shared" si="191"/>
        <v>0</v>
      </c>
      <c r="L134" s="363">
        <f t="shared" si="204"/>
        <v>0</v>
      </c>
      <c r="M134" s="420">
        <f t="shared" si="192"/>
        <v>0</v>
      </c>
      <c r="N134" s="421">
        <f t="shared" si="193"/>
        <v>0</v>
      </c>
      <c r="O134" s="363">
        <f t="shared" si="205"/>
        <v>0</v>
      </c>
      <c r="P134" s="419">
        <f t="shared" si="206"/>
        <v>0</v>
      </c>
      <c r="Q134" s="420">
        <f t="shared" si="207"/>
        <v>0</v>
      </c>
      <c r="R134" s="361">
        <f t="shared" si="208"/>
        <v>0</v>
      </c>
      <c r="S134" s="420">
        <f t="shared" si="194"/>
        <v>0</v>
      </c>
      <c r="T134" s="420">
        <f t="shared" si="195"/>
        <v>0</v>
      </c>
      <c r="U134" s="361">
        <f t="shared" si="209"/>
        <v>0</v>
      </c>
      <c r="V134" s="420">
        <f t="shared" si="196"/>
        <v>0</v>
      </c>
      <c r="W134" s="420">
        <f t="shared" si="197"/>
        <v>0</v>
      </c>
      <c r="X134" s="361">
        <f t="shared" si="210"/>
        <v>0</v>
      </c>
      <c r="Y134" s="420">
        <f t="shared" si="198"/>
        <v>0</v>
      </c>
      <c r="Z134" s="421">
        <f t="shared" si="199"/>
        <v>0</v>
      </c>
      <c r="AA134" s="363">
        <f t="shared" si="211"/>
        <v>0</v>
      </c>
    </row>
    <row r="135" spans="1:27" ht="15.95">
      <c r="A135" s="720"/>
      <c r="B135" s="722"/>
      <c r="C135" s="409" t="s">
        <v>118</v>
      </c>
      <c r="D135" s="410">
        <f t="shared" si="200"/>
        <v>0</v>
      </c>
      <c r="E135" s="411">
        <f t="shared" si="201"/>
        <v>0</v>
      </c>
      <c r="F135" s="412">
        <f t="shared" si="202"/>
        <v>0</v>
      </c>
      <c r="G135" s="420">
        <f t="shared" si="188"/>
        <v>0</v>
      </c>
      <c r="H135" s="421">
        <f t="shared" si="189"/>
        <v>0</v>
      </c>
      <c r="I135" s="363">
        <f t="shared" si="203"/>
        <v>0</v>
      </c>
      <c r="J135" s="420">
        <f t="shared" si="190"/>
        <v>0</v>
      </c>
      <c r="K135" s="421">
        <f t="shared" si="191"/>
        <v>0</v>
      </c>
      <c r="L135" s="363">
        <f t="shared" si="204"/>
        <v>0</v>
      </c>
      <c r="M135" s="420">
        <f t="shared" si="192"/>
        <v>0</v>
      </c>
      <c r="N135" s="421">
        <f t="shared" si="193"/>
        <v>0</v>
      </c>
      <c r="O135" s="363">
        <f t="shared" si="205"/>
        <v>0</v>
      </c>
      <c r="P135" s="419">
        <f t="shared" si="206"/>
        <v>0</v>
      </c>
      <c r="Q135" s="420">
        <f t="shared" si="207"/>
        <v>0</v>
      </c>
      <c r="R135" s="361">
        <f t="shared" si="208"/>
        <v>0</v>
      </c>
      <c r="S135" s="420">
        <f t="shared" si="194"/>
        <v>0</v>
      </c>
      <c r="T135" s="420">
        <f t="shared" si="195"/>
        <v>0</v>
      </c>
      <c r="U135" s="361">
        <f t="shared" si="209"/>
        <v>0</v>
      </c>
      <c r="V135" s="420">
        <f t="shared" si="196"/>
        <v>0</v>
      </c>
      <c r="W135" s="420">
        <f t="shared" si="197"/>
        <v>0</v>
      </c>
      <c r="X135" s="361">
        <f t="shared" si="210"/>
        <v>0</v>
      </c>
      <c r="Y135" s="420">
        <f t="shared" si="198"/>
        <v>0</v>
      </c>
      <c r="Z135" s="421">
        <f t="shared" si="199"/>
        <v>0</v>
      </c>
      <c r="AA135" s="363">
        <f t="shared" si="211"/>
        <v>0</v>
      </c>
    </row>
    <row r="136" spans="1:27" ht="17.100000000000001" thickBot="1">
      <c r="A136" s="721"/>
      <c r="B136" s="723"/>
      <c r="C136" s="422" t="s">
        <v>119</v>
      </c>
      <c r="D136" s="423">
        <f t="shared" si="200"/>
        <v>0</v>
      </c>
      <c r="E136" s="424">
        <f t="shared" si="201"/>
        <v>0</v>
      </c>
      <c r="F136" s="425">
        <f t="shared" si="202"/>
        <v>0</v>
      </c>
      <c r="G136" s="427">
        <f t="shared" si="188"/>
        <v>0</v>
      </c>
      <c r="H136" s="428">
        <f t="shared" si="189"/>
        <v>0</v>
      </c>
      <c r="I136" s="372">
        <f t="shared" si="203"/>
        <v>0</v>
      </c>
      <c r="J136" s="427">
        <f t="shared" si="190"/>
        <v>0</v>
      </c>
      <c r="K136" s="428">
        <f t="shared" si="191"/>
        <v>0</v>
      </c>
      <c r="L136" s="372">
        <f t="shared" si="204"/>
        <v>0</v>
      </c>
      <c r="M136" s="427">
        <f t="shared" si="192"/>
        <v>0</v>
      </c>
      <c r="N136" s="428">
        <f t="shared" si="193"/>
        <v>0</v>
      </c>
      <c r="O136" s="372">
        <f t="shared" si="205"/>
        <v>0</v>
      </c>
      <c r="P136" s="426">
        <f t="shared" si="206"/>
        <v>0</v>
      </c>
      <c r="Q136" s="427">
        <f t="shared" si="207"/>
        <v>0</v>
      </c>
      <c r="R136" s="370">
        <f t="shared" si="208"/>
        <v>0</v>
      </c>
      <c r="S136" s="427">
        <f t="shared" si="194"/>
        <v>0</v>
      </c>
      <c r="T136" s="427">
        <f t="shared" si="195"/>
        <v>0</v>
      </c>
      <c r="U136" s="370">
        <f t="shared" si="209"/>
        <v>0</v>
      </c>
      <c r="V136" s="427">
        <f t="shared" si="196"/>
        <v>0</v>
      </c>
      <c r="W136" s="427">
        <f t="shared" si="197"/>
        <v>0</v>
      </c>
      <c r="X136" s="370">
        <f t="shared" si="210"/>
        <v>0</v>
      </c>
      <c r="Y136" s="427">
        <f t="shared" si="198"/>
        <v>0</v>
      </c>
      <c r="Z136" s="428">
        <f t="shared" si="199"/>
        <v>0</v>
      </c>
      <c r="AA136" s="372">
        <f t="shared" si="211"/>
        <v>0</v>
      </c>
    </row>
  </sheetData>
  <sheetProtection insertColumns="0" deleteColumns="0"/>
  <mergeCells count="55">
    <mergeCell ref="V2:X2"/>
    <mergeCell ref="Y2:AA2"/>
    <mergeCell ref="V3:X3"/>
    <mergeCell ref="Y3:AA3"/>
    <mergeCell ref="P4:R4"/>
    <mergeCell ref="S4:U4"/>
    <mergeCell ref="V4:X4"/>
    <mergeCell ref="Y4:AA4"/>
    <mergeCell ref="V1:X1"/>
    <mergeCell ref="Y1:AA1"/>
    <mergeCell ref="A67:A76"/>
    <mergeCell ref="B67:B76"/>
    <mergeCell ref="A127:A136"/>
    <mergeCell ref="B127:B136"/>
    <mergeCell ref="A107:A116"/>
    <mergeCell ref="B107:B116"/>
    <mergeCell ref="A87:A96"/>
    <mergeCell ref="B87:B96"/>
    <mergeCell ref="A117:A126"/>
    <mergeCell ref="B117:B126"/>
    <mergeCell ref="A97:A106"/>
    <mergeCell ref="B97:B106"/>
    <mergeCell ref="A77:A86"/>
    <mergeCell ref="B77:B86"/>
    <mergeCell ref="A6:A15"/>
    <mergeCell ref="B6:B15"/>
    <mergeCell ref="A16:A25"/>
    <mergeCell ref="B16:B25"/>
    <mergeCell ref="S1:U1"/>
    <mergeCell ref="D1:F1"/>
    <mergeCell ref="P1:R1"/>
    <mergeCell ref="P3:R3"/>
    <mergeCell ref="S3:U3"/>
    <mergeCell ref="P2:R2"/>
    <mergeCell ref="S2:U2"/>
    <mergeCell ref="G1:I1"/>
    <mergeCell ref="G2:I2"/>
    <mergeCell ref="G3:I3"/>
    <mergeCell ref="G4:I4"/>
    <mergeCell ref="J1:L1"/>
    <mergeCell ref="A26:A35"/>
    <mergeCell ref="B26:B35"/>
    <mergeCell ref="A36:A45"/>
    <mergeCell ref="B36:B45"/>
    <mergeCell ref="A56:A65"/>
    <mergeCell ref="B56:B65"/>
    <mergeCell ref="A46:A55"/>
    <mergeCell ref="B46:B55"/>
    <mergeCell ref="J2:L2"/>
    <mergeCell ref="J3:L3"/>
    <mergeCell ref="J4:L4"/>
    <mergeCell ref="M1:O1"/>
    <mergeCell ref="M2:O2"/>
    <mergeCell ref="M3:O3"/>
    <mergeCell ref="M4:O4"/>
  </mergeCells>
  <pageMargins left="0.7" right="0.7" top="0.75" bottom="0.75" header="0.3" footer="0.3"/>
  <pageSetup paperSize="9" scale="3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3"/>
  <sheetViews>
    <sheetView view="pageBreakPreview" zoomScale="60" zoomScaleNormal="80" workbookViewId="0" xr3:uid="{F9CF3CF3-643B-5BE6-8B46-32C596A47465}"/>
  </sheetViews>
  <sheetFormatPr defaultColWidth="8.85546875" defaultRowHeight="15"/>
  <cols>
    <col min="1" max="1" width="7.85546875" style="61" customWidth="1"/>
    <col min="2" max="2" width="12.7109375" style="61" customWidth="1"/>
    <col min="3" max="3" width="14" style="61" customWidth="1"/>
    <col min="4" max="4" width="9.42578125" style="61" customWidth="1"/>
    <col min="5" max="5" width="11.85546875" style="61" customWidth="1"/>
    <col min="6" max="6" width="11.7109375" style="61" customWidth="1"/>
    <col min="7" max="7" width="9.7109375" customWidth="1"/>
    <col min="8" max="8" width="11.42578125" customWidth="1"/>
    <col min="9" max="9" width="10.85546875" customWidth="1"/>
    <col min="10" max="10" width="9.42578125" customWidth="1"/>
    <col min="11" max="11" width="12.7109375" customWidth="1"/>
    <col min="12" max="12" width="11.42578125" customWidth="1"/>
    <col min="13" max="13" width="10.42578125" customWidth="1"/>
    <col min="14" max="14" width="13.28515625" customWidth="1"/>
    <col min="15" max="15" width="11.28515625" customWidth="1"/>
    <col min="16" max="16" width="9.7109375" customWidth="1"/>
    <col min="17" max="17" width="14.7109375" customWidth="1"/>
    <col min="18" max="18" width="15.7109375" customWidth="1"/>
  </cols>
  <sheetData>
    <row r="2" spans="1:18" ht="15.95">
      <c r="A2" s="203" t="s">
        <v>124</v>
      </c>
      <c r="B2" s="204">
        <f>'CBA - Agendové IS'!J17</f>
        <v>18.569954671598698</v>
      </c>
    </row>
    <row r="5" spans="1:18" ht="30" customHeight="1">
      <c r="B5" s="732" t="s">
        <v>171</v>
      </c>
      <c r="C5" s="733"/>
      <c r="D5" s="211"/>
      <c r="E5" s="732" t="s">
        <v>172</v>
      </c>
      <c r="F5" s="733"/>
      <c r="H5" s="730" t="s">
        <v>173</v>
      </c>
      <c r="I5" s="731"/>
      <c r="J5" s="61"/>
      <c r="K5" s="732" t="s">
        <v>174</v>
      </c>
      <c r="L5" s="733"/>
      <c r="N5" s="730" t="s">
        <v>175</v>
      </c>
      <c r="O5" s="731"/>
      <c r="Q5" s="730" t="s">
        <v>176</v>
      </c>
      <c r="R5" s="731"/>
    </row>
    <row r="6" spans="1:18" ht="15.95">
      <c r="B6" s="206" t="s">
        <v>177</v>
      </c>
      <c r="C6" s="205" t="s">
        <v>124</v>
      </c>
      <c r="D6" s="212"/>
      <c r="E6" s="206" t="s">
        <v>177</v>
      </c>
      <c r="F6" s="205" t="s">
        <v>124</v>
      </c>
      <c r="H6" s="206" t="s">
        <v>177</v>
      </c>
      <c r="I6" s="205" t="s">
        <v>124</v>
      </c>
      <c r="J6" s="61"/>
      <c r="K6" s="206" t="s">
        <v>177</v>
      </c>
      <c r="L6" s="205" t="s">
        <v>124</v>
      </c>
      <c r="N6" s="207" t="s">
        <v>177</v>
      </c>
      <c r="O6" s="208" t="s">
        <v>124</v>
      </c>
      <c r="Q6" s="207" t="s">
        <v>177</v>
      </c>
      <c r="R6" s="208" t="s">
        <v>124</v>
      </c>
    </row>
    <row r="7" spans="1:18" ht="15" customHeight="1">
      <c r="B7" s="199">
        <v>0</v>
      </c>
      <c r="C7" s="191">
        <f>B2</f>
        <v>18.569954671598698</v>
      </c>
      <c r="D7" s="209"/>
      <c r="E7" s="199">
        <v>0</v>
      </c>
      <c r="F7" s="191">
        <f>B2</f>
        <v>18.569954671598698</v>
      </c>
      <c r="H7" s="199">
        <v>0</v>
      </c>
      <c r="I7" s="191">
        <f>B2</f>
        <v>18.569954671598698</v>
      </c>
      <c r="J7" s="61"/>
      <c r="K7" s="199">
        <v>0</v>
      </c>
      <c r="L7" s="191">
        <f>B2</f>
        <v>18.569954671598698</v>
      </c>
      <c r="N7" s="201">
        <v>0</v>
      </c>
      <c r="O7" s="193">
        <f>B2</f>
        <v>18.569954671598698</v>
      </c>
      <c r="Q7" s="201">
        <v>0</v>
      </c>
      <c r="R7" s="193">
        <f>B2</f>
        <v>18.569954671598698</v>
      </c>
    </row>
    <row r="8" spans="1:18">
      <c r="B8" s="199">
        <v>0.1</v>
      </c>
      <c r="C8" s="195">
        <f t="dataTable" ref="C8:C17" dt2D="0" dtr="0" r1="B7" ca="1"/>
        <v>2.5778872981196721</v>
      </c>
      <c r="D8" s="210"/>
      <c r="E8" s="199">
        <v>0.1</v>
      </c>
      <c r="F8" s="195">
        <f t="dataTable" ref="F8:F17" dt2D="0" dtr="0" r1="E7"/>
        <v>5.6848906813790334</v>
      </c>
      <c r="H8" s="199">
        <v>-0.1</v>
      </c>
      <c r="I8" s="195">
        <f t="dataTable" ref="I8:I17" dt2D="0" dtr="0" r1="H7" ca="1"/>
        <v>18.569954671598698</v>
      </c>
      <c r="J8" s="61"/>
      <c r="K8" s="199">
        <v>-0.1</v>
      </c>
      <c r="L8" s="195">
        <f t="dataTable" ref="L8:L17" dt2D="0" dtr="0" r1="K7" ca="1"/>
        <v>20.85349655896303</v>
      </c>
      <c r="N8" s="201">
        <v>-0.1</v>
      </c>
      <c r="O8" s="197">
        <f t="dataTable" ref="O8:O17" dt2D="0" dtr="0" r1="N7" ca="1"/>
        <v>16.712959204438832</v>
      </c>
      <c r="Q8" s="201">
        <v>-0.1</v>
      </c>
      <c r="R8" s="197">
        <f t="dataTable" ref="R8:R17" dt2D="0" dtr="0" r1="Q7" ca="1"/>
        <v>18.569954671598698</v>
      </c>
    </row>
    <row r="9" spans="1:18">
      <c r="A9" s="194"/>
      <c r="B9" s="199">
        <v>0.2</v>
      </c>
      <c r="C9" s="195">
        <v>1.3850824529923638</v>
      </c>
      <c r="D9" s="210"/>
      <c r="E9" s="199">
        <v>0.2</v>
      </c>
      <c r="F9" s="195">
        <v>3.3561627605818685</v>
      </c>
      <c r="H9" s="199">
        <v>-0.2</v>
      </c>
      <c r="I9" s="195">
        <v>18.569954671598698</v>
      </c>
      <c r="J9" s="61"/>
      <c r="K9" s="199">
        <v>-0.2</v>
      </c>
      <c r="L9" s="195">
        <v>23.13703844632737</v>
      </c>
      <c r="N9" s="201">
        <v>-0.2</v>
      </c>
      <c r="O9" s="197">
        <v>14.855963737278964</v>
      </c>
      <c r="Q9" s="201">
        <v>-0.2</v>
      </c>
      <c r="R9" s="197">
        <v>18.569954671598698</v>
      </c>
    </row>
    <row r="10" spans="1:18">
      <c r="A10" s="194"/>
      <c r="B10" s="199">
        <v>0.3</v>
      </c>
      <c r="C10" s="195">
        <v>0.94693131307791767</v>
      </c>
      <c r="D10" s="210"/>
      <c r="E10" s="199">
        <v>0.3</v>
      </c>
      <c r="F10" s="195">
        <v>2.3808742779001157</v>
      </c>
      <c r="H10" s="199">
        <v>-0.3</v>
      </c>
      <c r="I10" s="195">
        <v>18.569954671598698</v>
      </c>
      <c r="J10" s="61"/>
      <c r="K10" s="199">
        <v>-0.3</v>
      </c>
      <c r="L10" s="195">
        <v>25.420580333691699</v>
      </c>
      <c r="N10" s="201">
        <v>-0.3</v>
      </c>
      <c r="O10" s="197">
        <v>12.998968270119091</v>
      </c>
      <c r="Q10" s="201">
        <v>-0.3</v>
      </c>
      <c r="R10" s="197">
        <v>18.569954671598698</v>
      </c>
    </row>
    <row r="11" spans="1:18">
      <c r="A11" s="194"/>
      <c r="B11" s="199">
        <v>0.4</v>
      </c>
      <c r="C11" s="195">
        <v>0.71936912035619793</v>
      </c>
      <c r="D11" s="210"/>
      <c r="E11" s="199">
        <v>0.4</v>
      </c>
      <c r="F11" s="195">
        <v>1.844786225296382</v>
      </c>
      <c r="H11" s="199">
        <v>-0.4</v>
      </c>
      <c r="I11" s="195">
        <v>18.569954671598698</v>
      </c>
      <c r="J11" s="61"/>
      <c r="K11" s="199">
        <v>-0.4</v>
      </c>
      <c r="L11" s="195">
        <v>27.704122221056039</v>
      </c>
      <c r="N11" s="201">
        <v>-0.4</v>
      </c>
      <c r="O11" s="197">
        <v>11.141972802959216</v>
      </c>
      <c r="Q11" s="201">
        <v>-0.4</v>
      </c>
      <c r="R11" s="197">
        <v>18.569954671598698</v>
      </c>
    </row>
    <row r="12" spans="1:18">
      <c r="A12" s="194"/>
      <c r="B12" s="199">
        <v>0.5</v>
      </c>
      <c r="C12" s="195">
        <v>0.57998885678198819</v>
      </c>
      <c r="D12" s="210"/>
      <c r="E12" s="199">
        <v>0.5</v>
      </c>
      <c r="F12" s="195">
        <v>1.5057459008303113</v>
      </c>
      <c r="H12" s="199">
        <v>-0.5</v>
      </c>
      <c r="I12" s="195">
        <v>18.569954671598698</v>
      </c>
      <c r="J12" s="61"/>
      <c r="K12" s="199">
        <v>-0.5</v>
      </c>
      <c r="L12" s="195">
        <v>29.987664108420375</v>
      </c>
      <c r="N12" s="201">
        <v>-0.5</v>
      </c>
      <c r="O12" s="197">
        <v>9.284977335799347</v>
      </c>
      <c r="Q12" s="201">
        <v>-0.5</v>
      </c>
      <c r="R12" s="197">
        <v>18.569954671598698</v>
      </c>
    </row>
    <row r="13" spans="1:18">
      <c r="A13" s="194"/>
      <c r="B13" s="199">
        <v>0.6</v>
      </c>
      <c r="C13" s="195">
        <v>0.48585312726520374</v>
      </c>
      <c r="D13" s="210"/>
      <c r="E13" s="199">
        <v>0.6</v>
      </c>
      <c r="F13" s="195">
        <v>1.27197798604949</v>
      </c>
      <c r="H13" s="199">
        <v>-0.6</v>
      </c>
      <c r="I13" s="195">
        <v>18.569954671598698</v>
      </c>
      <c r="J13" s="61"/>
      <c r="K13" s="199">
        <v>-0.6</v>
      </c>
      <c r="L13" s="195">
        <v>32.271205995784698</v>
      </c>
      <c r="N13" s="201">
        <v>-0.6</v>
      </c>
      <c r="O13" s="197">
        <v>7.4279818686394838</v>
      </c>
      <c r="Q13" s="201">
        <v>-0.6</v>
      </c>
      <c r="R13" s="197">
        <v>18.569954671598698</v>
      </c>
    </row>
    <row r="14" spans="1:18">
      <c r="A14" s="190"/>
      <c r="B14" s="199">
        <v>0.7</v>
      </c>
      <c r="C14" s="195">
        <v>0.41800789583071229</v>
      </c>
      <c r="D14" s="210"/>
      <c r="E14" s="199">
        <v>0.7</v>
      </c>
      <c r="F14" s="195">
        <v>1.1010407742967721</v>
      </c>
      <c r="H14" s="199">
        <v>-0.7</v>
      </c>
      <c r="I14" s="195">
        <v>18.569954671598698</v>
      </c>
      <c r="J14" s="61"/>
      <c r="K14" s="199">
        <v>-0.7</v>
      </c>
      <c r="L14" s="195">
        <v>34.554747883149034</v>
      </c>
      <c r="N14" s="201">
        <v>-0.7</v>
      </c>
      <c r="O14" s="197">
        <v>5.5709864014796047</v>
      </c>
      <c r="Q14" s="201">
        <v>-0.7</v>
      </c>
      <c r="R14" s="197">
        <v>18.569954671598698</v>
      </c>
    </row>
    <row r="15" spans="1:18">
      <c r="A15" s="190"/>
      <c r="B15" s="199">
        <v>0.8</v>
      </c>
      <c r="C15" s="195">
        <v>0.36678895687506913</v>
      </c>
      <c r="D15" s="210"/>
      <c r="E15" s="199">
        <v>0.8</v>
      </c>
      <c r="F15" s="195">
        <v>0.97060425226760794</v>
      </c>
      <c r="H15" s="199">
        <v>-0.8</v>
      </c>
      <c r="I15" s="195">
        <v>18.569954671598698</v>
      </c>
      <c r="J15" s="61"/>
      <c r="K15" s="199">
        <v>-0.8</v>
      </c>
      <c r="L15" s="195">
        <v>36.83828977051337</v>
      </c>
      <c r="N15" s="201">
        <v>-0.8</v>
      </c>
      <c r="O15" s="197">
        <v>3.7139909343197344</v>
      </c>
      <c r="Q15" s="201">
        <v>-0.8</v>
      </c>
      <c r="R15" s="197">
        <v>18.569954671598698</v>
      </c>
    </row>
    <row r="16" spans="1:18">
      <c r="A16" s="190"/>
      <c r="B16" s="199">
        <v>0.9</v>
      </c>
      <c r="C16" s="195">
        <v>0.32675173010319891</v>
      </c>
      <c r="D16" s="210"/>
      <c r="E16" s="199">
        <v>0.9</v>
      </c>
      <c r="F16" s="195">
        <v>0.86779907403962353</v>
      </c>
      <c r="H16" s="199">
        <v>-0.9</v>
      </c>
      <c r="I16" s="195">
        <v>18.569954671598698</v>
      </c>
      <c r="J16" s="61"/>
      <c r="K16" s="199">
        <v>-0.9</v>
      </c>
      <c r="L16" s="195">
        <v>39.121831657877699</v>
      </c>
      <c r="N16" s="201">
        <v>-0.9</v>
      </c>
      <c r="O16" s="197">
        <v>1.8569954671598676</v>
      </c>
      <c r="Q16" s="201">
        <v>-0.9</v>
      </c>
      <c r="R16" s="197">
        <v>18.569954671598698</v>
      </c>
    </row>
    <row r="17" spans="1:18">
      <c r="A17" s="190"/>
      <c r="B17" s="200">
        <v>1</v>
      </c>
      <c r="C17" s="196">
        <v>0.29459491807362714</v>
      </c>
      <c r="D17" s="210"/>
      <c r="E17" s="200">
        <v>1</v>
      </c>
      <c r="F17" s="196">
        <v>0.78468611086066842</v>
      </c>
      <c r="H17" s="200">
        <v>-1</v>
      </c>
      <c r="I17" s="196">
        <v>18.569954671598698</v>
      </c>
      <c r="J17" s="61"/>
      <c r="K17" s="200">
        <v>-1</v>
      </c>
      <c r="L17" s="196">
        <v>41.405373545242036</v>
      </c>
      <c r="N17" s="202">
        <v>-1</v>
      </c>
      <c r="O17" s="198">
        <v>0</v>
      </c>
      <c r="Q17" s="202">
        <v>-1</v>
      </c>
      <c r="R17" s="198">
        <v>18.569954671598698</v>
      </c>
    </row>
    <row r="18" spans="1:18">
      <c r="A18" s="194"/>
      <c r="N18" s="101"/>
    </row>
    <row r="19" spans="1:18">
      <c r="A19" s="194"/>
    </row>
    <row r="25" spans="1:18" ht="18.75" customHeight="1">
      <c r="D25" s="724" t="s">
        <v>176</v>
      </c>
      <c r="E25" s="725"/>
      <c r="F25" s="725"/>
      <c r="G25" s="725"/>
      <c r="H25" s="725"/>
      <c r="I25" s="725"/>
      <c r="J25" s="725"/>
      <c r="K25" s="725"/>
      <c r="L25" s="725"/>
      <c r="M25" s="725"/>
      <c r="N25" s="726"/>
    </row>
    <row r="26" spans="1:18">
      <c r="C26" s="213">
        <f>B2</f>
        <v>18.569954671598698</v>
      </c>
      <c r="D26" s="219">
        <v>0</v>
      </c>
      <c r="E26" s="216">
        <v>-0.1</v>
      </c>
      <c r="F26" s="216">
        <v>-0.2</v>
      </c>
      <c r="G26" s="216">
        <v>-0.3</v>
      </c>
      <c r="H26" s="216">
        <v>-0.4</v>
      </c>
      <c r="I26" s="216">
        <v>-0.5</v>
      </c>
      <c r="J26" s="216">
        <v>-0.6</v>
      </c>
      <c r="K26" s="216">
        <v>-0.7</v>
      </c>
      <c r="L26" s="216">
        <v>-0.8</v>
      </c>
      <c r="M26" s="216">
        <v>-0.9</v>
      </c>
      <c r="N26" s="220">
        <v>-1</v>
      </c>
    </row>
    <row r="27" spans="1:18" ht="14.25" customHeight="1">
      <c r="B27" s="727" t="s">
        <v>175</v>
      </c>
      <c r="C27" s="221">
        <v>0</v>
      </c>
      <c r="D27" s="210">
        <f t="dataTable" ref="D27:N37" dt2D="1" dtr="1" r1="Q7" r2="N7" ca="1"/>
        <v>18.569954671598698</v>
      </c>
      <c r="E27" s="210">
        <v>18.569954671598698</v>
      </c>
      <c r="F27" s="210">
        <v>18.569954671598698</v>
      </c>
      <c r="G27" s="215">
        <v>18.569954671598698</v>
      </c>
      <c r="H27" s="215">
        <v>18.569954671598698</v>
      </c>
      <c r="I27" s="215">
        <v>18.569954671598698</v>
      </c>
      <c r="J27" s="215">
        <v>18.569954671598698</v>
      </c>
      <c r="K27" s="215">
        <v>18.569954671598698</v>
      </c>
      <c r="L27" s="215">
        <v>18.569954671598698</v>
      </c>
      <c r="M27" s="215">
        <v>18.569954671598698</v>
      </c>
      <c r="N27" s="197">
        <v>18.569954671598698</v>
      </c>
    </row>
    <row r="28" spans="1:18">
      <c r="B28" s="728"/>
      <c r="C28" s="214">
        <v>-0.1</v>
      </c>
      <c r="D28" s="210">
        <v>16.712959204438832</v>
      </c>
      <c r="E28" s="210">
        <v>16.712959204438832</v>
      </c>
      <c r="F28" s="210">
        <v>16.712959204438832</v>
      </c>
      <c r="G28" s="215">
        <v>16.712959204438832</v>
      </c>
      <c r="H28" s="215">
        <v>16.712959204438832</v>
      </c>
      <c r="I28" s="215">
        <v>16.712959204438832</v>
      </c>
      <c r="J28" s="215">
        <v>16.712959204438832</v>
      </c>
      <c r="K28" s="215">
        <v>16.712959204438832</v>
      </c>
      <c r="L28" s="215">
        <v>16.712959204438832</v>
      </c>
      <c r="M28" s="215">
        <v>16.712959204438832</v>
      </c>
      <c r="N28" s="197">
        <v>16.712959204438832</v>
      </c>
    </row>
    <row r="29" spans="1:18">
      <c r="B29" s="728"/>
      <c r="C29" s="214">
        <v>-0.2</v>
      </c>
      <c r="D29" s="210">
        <v>14.855963737278964</v>
      </c>
      <c r="E29" s="210">
        <v>14.855963737278964</v>
      </c>
      <c r="F29" s="210">
        <v>14.855963737278964</v>
      </c>
      <c r="G29" s="215">
        <v>14.855963737278964</v>
      </c>
      <c r="H29" s="215">
        <v>14.855963737278964</v>
      </c>
      <c r="I29" s="215">
        <v>14.855963737278964</v>
      </c>
      <c r="J29" s="215">
        <v>14.855963737278964</v>
      </c>
      <c r="K29" s="215">
        <v>14.855963737278964</v>
      </c>
      <c r="L29" s="215">
        <v>14.855963737278964</v>
      </c>
      <c r="M29" s="215">
        <v>14.855963737278964</v>
      </c>
      <c r="N29" s="197">
        <v>14.855963737278964</v>
      </c>
    </row>
    <row r="30" spans="1:18">
      <c r="B30" s="728"/>
      <c r="C30" s="214">
        <v>-0.3</v>
      </c>
      <c r="D30" s="210">
        <v>12.998968270119091</v>
      </c>
      <c r="E30" s="210">
        <v>12.998968270119091</v>
      </c>
      <c r="F30" s="210">
        <v>12.998968270119091</v>
      </c>
      <c r="G30" s="215">
        <v>12.998968270119091</v>
      </c>
      <c r="H30" s="215">
        <v>12.998968270119091</v>
      </c>
      <c r="I30" s="215">
        <v>12.998968270119091</v>
      </c>
      <c r="J30" s="215">
        <v>12.998968270119091</v>
      </c>
      <c r="K30" s="215">
        <v>12.998968270119091</v>
      </c>
      <c r="L30" s="215">
        <v>12.998968270119091</v>
      </c>
      <c r="M30" s="215">
        <v>12.998968270119091</v>
      </c>
      <c r="N30" s="197">
        <v>12.998968270119091</v>
      </c>
    </row>
    <row r="31" spans="1:18">
      <c r="B31" s="728"/>
      <c r="C31" s="214">
        <v>-0.4</v>
      </c>
      <c r="D31" s="210">
        <v>11.141972802959216</v>
      </c>
      <c r="E31" s="210">
        <v>11.141972802959216</v>
      </c>
      <c r="F31" s="210">
        <v>11.141972802959216</v>
      </c>
      <c r="G31" s="215">
        <v>11.141972802959216</v>
      </c>
      <c r="H31" s="215">
        <v>11.141972802959216</v>
      </c>
      <c r="I31" s="215">
        <v>11.141972802959216</v>
      </c>
      <c r="J31" s="215">
        <v>11.141972802959216</v>
      </c>
      <c r="K31" s="215">
        <v>11.141972802959216</v>
      </c>
      <c r="L31" s="215">
        <v>11.141972802959216</v>
      </c>
      <c r="M31" s="215">
        <v>11.141972802959216</v>
      </c>
      <c r="N31" s="197">
        <v>11.141972802959216</v>
      </c>
    </row>
    <row r="32" spans="1:18">
      <c r="B32" s="728"/>
      <c r="C32" s="214">
        <v>-0.5</v>
      </c>
      <c r="D32" s="210">
        <v>9.284977335799347</v>
      </c>
      <c r="E32" s="210">
        <v>9.284977335799347</v>
      </c>
      <c r="F32" s="210">
        <v>9.284977335799347</v>
      </c>
      <c r="G32" s="215">
        <v>9.284977335799347</v>
      </c>
      <c r="H32" s="215">
        <v>9.284977335799347</v>
      </c>
      <c r="I32" s="215">
        <v>9.284977335799347</v>
      </c>
      <c r="J32" s="215">
        <v>9.284977335799347</v>
      </c>
      <c r="K32" s="215">
        <v>9.284977335799347</v>
      </c>
      <c r="L32" s="215">
        <v>9.284977335799347</v>
      </c>
      <c r="M32" s="215">
        <v>9.284977335799347</v>
      </c>
      <c r="N32" s="197">
        <v>9.284977335799347</v>
      </c>
    </row>
    <row r="33" spans="2:14">
      <c r="B33" s="728"/>
      <c r="C33" s="214">
        <v>-0.6</v>
      </c>
      <c r="D33" s="210">
        <v>7.4279818686394838</v>
      </c>
      <c r="E33" s="210">
        <v>7.4279818686394838</v>
      </c>
      <c r="F33" s="210">
        <v>7.4279818686394838</v>
      </c>
      <c r="G33" s="215">
        <v>7.4279818686394838</v>
      </c>
      <c r="H33" s="215">
        <v>7.4279818686394838</v>
      </c>
      <c r="I33" s="215">
        <v>7.4279818686394838</v>
      </c>
      <c r="J33" s="215">
        <v>7.4279818686394838</v>
      </c>
      <c r="K33" s="215">
        <v>7.4279818686394838</v>
      </c>
      <c r="L33" s="215">
        <v>7.4279818686394838</v>
      </c>
      <c r="M33" s="215">
        <v>7.4279818686394838</v>
      </c>
      <c r="N33" s="197">
        <v>7.4279818686394838</v>
      </c>
    </row>
    <row r="34" spans="2:14">
      <c r="B34" s="728"/>
      <c r="C34" s="214">
        <v>-0.7</v>
      </c>
      <c r="D34" s="210">
        <v>5.5709864014796047</v>
      </c>
      <c r="E34" s="210">
        <v>5.5709864014796047</v>
      </c>
      <c r="F34" s="210">
        <v>5.5709864014796047</v>
      </c>
      <c r="G34" s="215">
        <v>5.5709864014796047</v>
      </c>
      <c r="H34" s="215">
        <v>5.5709864014796047</v>
      </c>
      <c r="I34" s="215">
        <v>5.5709864014796047</v>
      </c>
      <c r="J34" s="215">
        <v>5.5709864014796047</v>
      </c>
      <c r="K34" s="215">
        <v>5.5709864014796047</v>
      </c>
      <c r="L34" s="215">
        <v>5.5709864014796047</v>
      </c>
      <c r="M34" s="215">
        <v>5.5709864014796047</v>
      </c>
      <c r="N34" s="197">
        <v>5.5709864014796047</v>
      </c>
    </row>
    <row r="35" spans="2:14">
      <c r="B35" s="728"/>
      <c r="C35" s="214">
        <v>-0.8</v>
      </c>
      <c r="D35" s="210">
        <v>3.7139909343197344</v>
      </c>
      <c r="E35" s="210">
        <v>3.7139909343197344</v>
      </c>
      <c r="F35" s="210">
        <v>3.7139909343197344</v>
      </c>
      <c r="G35" s="215">
        <v>3.7139909343197344</v>
      </c>
      <c r="H35" s="215">
        <v>3.7139909343197344</v>
      </c>
      <c r="I35" s="215">
        <v>3.7139909343197344</v>
      </c>
      <c r="J35" s="215">
        <v>3.7139909343197344</v>
      </c>
      <c r="K35" s="215">
        <v>3.7139909343197344</v>
      </c>
      <c r="L35" s="215">
        <v>3.7139909343197344</v>
      </c>
      <c r="M35" s="215">
        <v>3.7139909343197344</v>
      </c>
      <c r="N35" s="197">
        <v>3.7139909343197344</v>
      </c>
    </row>
    <row r="36" spans="2:14">
      <c r="B36" s="728"/>
      <c r="C36" s="214">
        <v>-0.9</v>
      </c>
      <c r="D36" s="210">
        <v>1.8569954671598676</v>
      </c>
      <c r="E36" s="210">
        <v>1.8569954671598676</v>
      </c>
      <c r="F36" s="210">
        <v>1.8569954671598676</v>
      </c>
      <c r="G36" s="215">
        <v>1.8569954671598676</v>
      </c>
      <c r="H36" s="215">
        <v>1.8569954671598676</v>
      </c>
      <c r="I36" s="215">
        <v>1.8569954671598676</v>
      </c>
      <c r="J36" s="215">
        <v>1.8569954671598676</v>
      </c>
      <c r="K36" s="215">
        <v>1.8569954671598676</v>
      </c>
      <c r="L36" s="215">
        <v>1.8569954671598676</v>
      </c>
      <c r="M36" s="215">
        <v>1.8569954671598676</v>
      </c>
      <c r="N36" s="197">
        <v>1.8569954671598676</v>
      </c>
    </row>
    <row r="37" spans="2:14">
      <c r="B37" s="729"/>
      <c r="C37" s="220">
        <v>-1</v>
      </c>
      <c r="D37" s="217">
        <v>0</v>
      </c>
      <c r="E37" s="217">
        <v>0</v>
      </c>
      <c r="F37" s="217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198">
        <v>0</v>
      </c>
    </row>
    <row r="41" spans="2:14">
      <c r="D41" s="724" t="s">
        <v>174</v>
      </c>
      <c r="E41" s="725"/>
      <c r="F41" s="725"/>
      <c r="G41" s="725"/>
      <c r="H41" s="725"/>
      <c r="I41" s="725"/>
      <c r="J41" s="725"/>
      <c r="K41" s="725"/>
      <c r="L41" s="725"/>
      <c r="M41" s="725"/>
      <c r="N41" s="726"/>
    </row>
    <row r="42" spans="2:14">
      <c r="C42" s="213">
        <f>B2</f>
        <v>18.569954671598698</v>
      </c>
      <c r="D42" s="219">
        <v>0</v>
      </c>
      <c r="E42" s="216">
        <v>-0.1</v>
      </c>
      <c r="F42" s="216">
        <v>-0.2</v>
      </c>
      <c r="G42" s="216">
        <v>-0.3</v>
      </c>
      <c r="H42" s="216">
        <v>-0.4</v>
      </c>
      <c r="I42" s="216">
        <v>-0.5</v>
      </c>
      <c r="J42" s="216">
        <v>-0.6</v>
      </c>
      <c r="K42" s="216">
        <v>-0.7</v>
      </c>
      <c r="L42" s="216">
        <v>-0.8</v>
      </c>
      <c r="M42" s="216">
        <v>-0.9</v>
      </c>
      <c r="N42" s="220">
        <v>-1</v>
      </c>
    </row>
    <row r="43" spans="2:14">
      <c r="B43" s="727" t="s">
        <v>172</v>
      </c>
      <c r="C43" s="221">
        <v>0</v>
      </c>
      <c r="D43" s="210">
        <f t="dataTable" ref="D43:N53" dt2D="1" dtr="1" r1="K7" r2="E7" ca="1"/>
        <v>18.569954671598698</v>
      </c>
      <c r="E43" s="210">
        <v>20.85349655896303</v>
      </c>
      <c r="F43" s="210">
        <v>23.13703844632737</v>
      </c>
      <c r="G43" s="215">
        <v>25.420580333691699</v>
      </c>
      <c r="H43" s="215">
        <v>27.704122221056039</v>
      </c>
      <c r="I43" s="215">
        <v>29.987664108420375</v>
      </c>
      <c r="J43" s="215">
        <v>32.271205995784698</v>
      </c>
      <c r="K43" s="215">
        <v>34.554747883149034</v>
      </c>
      <c r="L43" s="215">
        <v>36.83828977051337</v>
      </c>
      <c r="M43" s="215">
        <v>39.121831657877699</v>
      </c>
      <c r="N43" s="197">
        <v>41.405373545242036</v>
      </c>
    </row>
    <row r="44" spans="2:14">
      <c r="B44" s="728"/>
      <c r="C44" s="214">
        <v>0.1</v>
      </c>
      <c r="D44" s="210">
        <v>5.6848906813790334</v>
      </c>
      <c r="E44" s="210">
        <v>6.3839600235282994</v>
      </c>
      <c r="F44" s="210">
        <v>7.0830293656775662</v>
      </c>
      <c r="G44" s="215">
        <v>7.7820987078268313</v>
      </c>
      <c r="H44" s="215">
        <v>8.4811680499760982</v>
      </c>
      <c r="I44" s="215">
        <v>9.1802373921253668</v>
      </c>
      <c r="J44" s="215">
        <v>9.8793067342746284</v>
      </c>
      <c r="K44" s="215">
        <v>10.578376076423895</v>
      </c>
      <c r="L44" s="215">
        <v>11.277445418573162</v>
      </c>
      <c r="M44" s="215">
        <v>11.976514760722425</v>
      </c>
      <c r="N44" s="197">
        <v>12.675584102871692</v>
      </c>
    </row>
    <row r="45" spans="2:14">
      <c r="B45" s="728"/>
      <c r="C45" s="214">
        <v>0.2</v>
      </c>
      <c r="D45" s="210">
        <v>3.3561627605818685</v>
      </c>
      <c r="E45" s="210">
        <v>3.7688691123277027</v>
      </c>
      <c r="F45" s="210">
        <v>4.1815754640735383</v>
      </c>
      <c r="G45" s="215">
        <v>4.5942818158193717</v>
      </c>
      <c r="H45" s="215">
        <v>5.0069881675652068</v>
      </c>
      <c r="I45" s="215">
        <v>5.419694519311042</v>
      </c>
      <c r="J45" s="215">
        <v>5.8324008710568744</v>
      </c>
      <c r="K45" s="215">
        <v>6.2451072228027096</v>
      </c>
      <c r="L45" s="215">
        <v>6.6578135745485438</v>
      </c>
      <c r="M45" s="215">
        <v>7.0705199262943763</v>
      </c>
      <c r="N45" s="197">
        <v>7.4832262780402115</v>
      </c>
    </row>
    <row r="46" spans="2:14">
      <c r="B46" s="728"/>
      <c r="C46" s="214">
        <v>0.3</v>
      </c>
      <c r="D46" s="210">
        <v>2.3808742779001157</v>
      </c>
      <c r="E46" s="210">
        <v>2.6736496905643388</v>
      </c>
      <c r="F46" s="210">
        <v>2.9664251032285627</v>
      </c>
      <c r="G46" s="215">
        <v>3.2592005158927853</v>
      </c>
      <c r="H46" s="215">
        <v>3.5519759285570087</v>
      </c>
      <c r="I46" s="215">
        <v>3.8447513412212326</v>
      </c>
      <c r="J46" s="215">
        <v>4.1375267538854539</v>
      </c>
      <c r="K46" s="215">
        <v>4.4303021665496773</v>
      </c>
      <c r="L46" s="215">
        <v>4.7230775792139008</v>
      </c>
      <c r="M46" s="215">
        <v>5.0158529918781225</v>
      </c>
      <c r="N46" s="197">
        <v>5.3086284045423469</v>
      </c>
    </row>
    <row r="47" spans="2:14">
      <c r="B47" s="728"/>
      <c r="C47" s="214">
        <v>0.4</v>
      </c>
      <c r="D47" s="210">
        <v>1.844786225296382</v>
      </c>
      <c r="E47" s="210">
        <v>2.0716390471365957</v>
      </c>
      <c r="F47" s="210">
        <v>2.2984918689768099</v>
      </c>
      <c r="G47" s="215">
        <v>2.5253446908170232</v>
      </c>
      <c r="H47" s="215">
        <v>2.7521975126572378</v>
      </c>
      <c r="I47" s="215">
        <v>2.9790503344974519</v>
      </c>
      <c r="J47" s="215">
        <v>3.2059031563376643</v>
      </c>
      <c r="K47" s="215">
        <v>3.4327559781778785</v>
      </c>
      <c r="L47" s="215">
        <v>3.6596088000180922</v>
      </c>
      <c r="M47" s="215">
        <v>3.8864616218583055</v>
      </c>
      <c r="N47" s="197">
        <v>4.1133144436985196</v>
      </c>
    </row>
    <row r="48" spans="2:14">
      <c r="B48" s="728"/>
      <c r="C48" s="214">
        <v>0.5</v>
      </c>
      <c r="D48" s="210">
        <v>1.5057459008303113</v>
      </c>
      <c r="E48" s="210">
        <v>1.690907033266029</v>
      </c>
      <c r="F48" s="210">
        <v>1.8760681657017468</v>
      </c>
      <c r="G48" s="215">
        <v>2.061229298137464</v>
      </c>
      <c r="H48" s="215">
        <v>2.2463904305731819</v>
      </c>
      <c r="I48" s="215">
        <v>2.4315515630088997</v>
      </c>
      <c r="J48" s="215">
        <v>2.6167126954446163</v>
      </c>
      <c r="K48" s="215">
        <v>2.8018738278803346</v>
      </c>
      <c r="L48" s="215">
        <v>2.987034960316052</v>
      </c>
      <c r="M48" s="215">
        <v>3.1721960927517689</v>
      </c>
      <c r="N48" s="197">
        <v>3.3573572251874868</v>
      </c>
    </row>
    <row r="49" spans="2:14">
      <c r="B49" s="728"/>
      <c r="C49" s="214">
        <v>0.6</v>
      </c>
      <c r="D49" s="210">
        <v>1.27197798604949</v>
      </c>
      <c r="E49" s="210">
        <v>1.4283927464684649</v>
      </c>
      <c r="F49" s="210">
        <v>1.5848075068874403</v>
      </c>
      <c r="G49" s="215">
        <v>1.7412222673064151</v>
      </c>
      <c r="H49" s="215">
        <v>1.8976370277253904</v>
      </c>
      <c r="I49" s="215">
        <v>2.0540517881443656</v>
      </c>
      <c r="J49" s="215">
        <v>2.2104665485633399</v>
      </c>
      <c r="K49" s="215">
        <v>2.3668813089823151</v>
      </c>
      <c r="L49" s="215">
        <v>2.5232960694012903</v>
      </c>
      <c r="M49" s="215">
        <v>2.6797108298202645</v>
      </c>
      <c r="N49" s="197">
        <v>2.8361255902392402</v>
      </c>
    </row>
    <row r="50" spans="2:14">
      <c r="B50" s="728"/>
      <c r="C50" s="214">
        <v>0.7</v>
      </c>
      <c r="D50" s="210">
        <v>1.1010407742967721</v>
      </c>
      <c r="E50" s="210">
        <v>1.2364354358490763</v>
      </c>
      <c r="F50" s="210">
        <v>1.3718300974013811</v>
      </c>
      <c r="G50" s="215">
        <v>1.5072247589536851</v>
      </c>
      <c r="H50" s="215">
        <v>1.6426194205059899</v>
      </c>
      <c r="I50" s="215">
        <v>1.7780140820582944</v>
      </c>
      <c r="J50" s="215">
        <v>1.913408743610598</v>
      </c>
      <c r="K50" s="215">
        <v>2.0488034051629027</v>
      </c>
      <c r="L50" s="215">
        <v>2.184198066715207</v>
      </c>
      <c r="M50" s="215">
        <v>2.3195927282675108</v>
      </c>
      <c r="N50" s="197">
        <v>2.4549873898198156</v>
      </c>
    </row>
    <row r="51" spans="2:14">
      <c r="B51" s="728"/>
      <c r="C51" s="214">
        <v>0.8</v>
      </c>
      <c r="D51" s="210">
        <v>0.97060425226760794</v>
      </c>
      <c r="E51" s="210">
        <v>1.0899591729070672</v>
      </c>
      <c r="F51" s="210">
        <v>1.209314093546527</v>
      </c>
      <c r="G51" s="215">
        <v>1.3286690141859863</v>
      </c>
      <c r="H51" s="215">
        <v>1.448023934825446</v>
      </c>
      <c r="I51" s="215">
        <v>1.5673788554649055</v>
      </c>
      <c r="J51" s="215">
        <v>1.6867337761043644</v>
      </c>
      <c r="K51" s="215">
        <v>1.8060886967438241</v>
      </c>
      <c r="L51" s="215">
        <v>1.9254436173832834</v>
      </c>
      <c r="M51" s="215">
        <v>2.0447985380227425</v>
      </c>
      <c r="N51" s="197">
        <v>2.1641534586622022</v>
      </c>
    </row>
    <row r="52" spans="2:14">
      <c r="B52" s="728"/>
      <c r="C52" s="214">
        <v>0.9</v>
      </c>
      <c r="D52" s="210">
        <v>0.86779907403962353</v>
      </c>
      <c r="E52" s="210">
        <v>0.97451207202104839</v>
      </c>
      <c r="F52" s="210">
        <v>1.0812250700024735</v>
      </c>
      <c r="G52" s="215">
        <v>1.1879380679838982</v>
      </c>
      <c r="H52" s="215">
        <v>1.2946510659653232</v>
      </c>
      <c r="I52" s="215">
        <v>1.4013640639467484</v>
      </c>
      <c r="J52" s="215">
        <v>1.5080770619281725</v>
      </c>
      <c r="K52" s="215">
        <v>1.6147900599095977</v>
      </c>
      <c r="L52" s="215">
        <v>1.7215030578910224</v>
      </c>
      <c r="M52" s="215">
        <v>1.828216055872447</v>
      </c>
      <c r="N52" s="197">
        <v>1.9349290538538721</v>
      </c>
    </row>
    <row r="53" spans="2:14">
      <c r="B53" s="729"/>
      <c r="C53" s="220">
        <v>1</v>
      </c>
      <c r="D53" s="217">
        <v>0.78468611086066842</v>
      </c>
      <c r="E53" s="217">
        <v>0.88117873210135811</v>
      </c>
      <c r="F53" s="217">
        <v>0.97767135334204802</v>
      </c>
      <c r="G53" s="218">
        <v>1.0741639745827376</v>
      </c>
      <c r="H53" s="218">
        <v>1.1706565958234274</v>
      </c>
      <c r="I53" s="218">
        <v>1.2671492170641174</v>
      </c>
      <c r="J53" s="218">
        <v>1.3636418383048066</v>
      </c>
      <c r="K53" s="218">
        <v>1.4601344595454964</v>
      </c>
      <c r="L53" s="218">
        <v>1.5566270807861862</v>
      </c>
      <c r="M53" s="218">
        <v>1.6531197020268755</v>
      </c>
      <c r="N53" s="198">
        <v>1.7496123232675653</v>
      </c>
    </row>
  </sheetData>
  <sheetProtection algorithmName="SHA-512" hashValue="dqd+ettbIsAQzamG7hohEAWj7LYgqtK4GHeDrc5QXa4Nl9dV9iy4G95/67sKKPulFay1zzDhIR6amoURKm9xxg==" saltValue="Jdn/cjq3bnIHWs2UgDdX4Q==" spinCount="100000" sheet="1" objects="1" scenarios="1"/>
  <mergeCells count="10">
    <mergeCell ref="D25:N25"/>
    <mergeCell ref="B27:B37"/>
    <mergeCell ref="D41:N41"/>
    <mergeCell ref="B43:B53"/>
    <mergeCell ref="Q5:R5"/>
    <mergeCell ref="N5:O5"/>
    <mergeCell ref="K5:L5"/>
    <mergeCell ref="B5:C5"/>
    <mergeCell ref="H5:I5"/>
    <mergeCell ref="E5:F5"/>
  </mergeCells>
  <conditionalFormatting sqref="D27:N37">
    <cfRule type="colorScale" priority="2">
      <colorScale>
        <cfvo type="min"/>
        <cfvo type="num" val="1"/>
        <cfvo type="max"/>
        <color rgb="FFF8696B"/>
        <color rgb="FFFFEB84"/>
        <color rgb="FF63BE7B"/>
      </colorScale>
    </cfRule>
  </conditionalFormatting>
  <conditionalFormatting sqref="D43:N53">
    <cfRule type="colorScale" priority="1">
      <colorScale>
        <cfvo type="min"/>
        <cfvo type="num" val="1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CC"/>
  </sheetPr>
  <dimension ref="A1:V38"/>
  <sheetViews>
    <sheetView view="pageBreakPreview" topLeftCell="J1" zoomScale="60" zoomScaleNormal="85" workbookViewId="0" xr3:uid="{78B4E459-6924-5F8B-B7BA-2DD04133E49E}">
      <selection activeCell="S28" sqref="S28"/>
    </sheetView>
  </sheetViews>
  <sheetFormatPr defaultColWidth="8.85546875" defaultRowHeight="15"/>
  <cols>
    <col min="1" max="1" width="9.42578125" customWidth="1"/>
    <col min="2" max="3" width="14.28515625" bestFit="1" customWidth="1"/>
    <col min="4" max="4" width="13.42578125" customWidth="1"/>
    <col min="5" max="5" width="11.140625" customWidth="1"/>
    <col min="6" max="6" width="12" customWidth="1"/>
    <col min="8" max="8" width="12" customWidth="1"/>
    <col min="9" max="9" width="14" customWidth="1"/>
    <col min="10" max="10" width="14.85546875" customWidth="1"/>
    <col min="11" max="11" width="13.42578125" customWidth="1"/>
    <col min="12" max="12" width="13.42578125" bestFit="1" customWidth="1"/>
    <col min="13" max="13" width="13.85546875" customWidth="1"/>
    <col min="14" max="14" width="16" customWidth="1"/>
    <col min="15" max="15" width="18.85546875" customWidth="1"/>
    <col min="16" max="16" width="13.85546875" customWidth="1"/>
    <col min="17" max="17" width="14.7109375" customWidth="1"/>
    <col min="18" max="18" width="14" customWidth="1"/>
    <col min="19" max="19" width="14.42578125" customWidth="1"/>
    <col min="20" max="20" width="14.28515625" bestFit="1" customWidth="1"/>
    <col min="21" max="21" width="17.42578125" customWidth="1"/>
    <col min="22" max="22" width="15.42578125" customWidth="1"/>
  </cols>
  <sheetData>
    <row r="1" spans="1:22" ht="15.75" customHeight="1" thickBot="1">
      <c r="A1" s="18"/>
      <c r="B1" s="692" t="s">
        <v>178</v>
      </c>
      <c r="C1" s="693"/>
      <c r="D1" s="694"/>
      <c r="E1" s="692" t="s">
        <v>179</v>
      </c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4"/>
      <c r="Q1" s="695" t="s">
        <v>180</v>
      </c>
      <c r="R1" s="696"/>
      <c r="S1" s="696"/>
      <c r="T1" s="696"/>
      <c r="U1" s="696"/>
      <c r="V1" s="697"/>
    </row>
    <row r="2" spans="1:22" ht="24" customHeight="1">
      <c r="A2" s="8"/>
      <c r="B2" s="695" t="s">
        <v>88</v>
      </c>
      <c r="C2" s="696"/>
      <c r="D2" s="697"/>
      <c r="E2" s="734" t="s">
        <v>89</v>
      </c>
      <c r="F2" s="735"/>
      <c r="G2" s="736"/>
      <c r="H2" s="737" t="s">
        <v>181</v>
      </c>
      <c r="I2" s="735"/>
      <c r="J2" s="736"/>
      <c r="K2" s="737" t="s">
        <v>182</v>
      </c>
      <c r="L2" s="735"/>
      <c r="M2" s="736"/>
      <c r="N2" s="737" t="s">
        <v>165</v>
      </c>
      <c r="O2" s="735"/>
      <c r="P2" s="738"/>
      <c r="Q2" s="696" t="s">
        <v>87</v>
      </c>
      <c r="R2" s="696"/>
      <c r="S2" s="697"/>
      <c r="T2" s="696" t="s">
        <v>90</v>
      </c>
      <c r="U2" s="696"/>
      <c r="V2" s="697"/>
    </row>
    <row r="3" spans="1:22" ht="18.600000000000001" customHeight="1" thickBot="1">
      <c r="A3" s="19" t="s">
        <v>106</v>
      </c>
      <c r="B3" s="23" t="s">
        <v>107</v>
      </c>
      <c r="C3" s="20" t="s">
        <v>108</v>
      </c>
      <c r="D3" s="24" t="s">
        <v>109</v>
      </c>
      <c r="E3" s="14" t="s">
        <v>107</v>
      </c>
      <c r="F3" s="15" t="s">
        <v>108</v>
      </c>
      <c r="G3" s="22" t="s">
        <v>109</v>
      </c>
      <c r="H3" s="21" t="s">
        <v>107</v>
      </c>
      <c r="I3" s="15" t="s">
        <v>108</v>
      </c>
      <c r="J3" s="22" t="s">
        <v>109</v>
      </c>
      <c r="K3" s="21" t="s">
        <v>107</v>
      </c>
      <c r="L3" s="15" t="s">
        <v>108</v>
      </c>
      <c r="M3" s="22" t="s">
        <v>109</v>
      </c>
      <c r="N3" s="21" t="s">
        <v>107</v>
      </c>
      <c r="O3" s="15" t="s">
        <v>108</v>
      </c>
      <c r="P3" s="16" t="s">
        <v>109</v>
      </c>
      <c r="Q3" s="15" t="s">
        <v>107</v>
      </c>
      <c r="R3" s="15" t="s">
        <v>108</v>
      </c>
      <c r="S3" s="16" t="s">
        <v>109</v>
      </c>
      <c r="T3" s="15" t="s">
        <v>107</v>
      </c>
      <c r="U3" s="15" t="s">
        <v>108</v>
      </c>
      <c r="V3" s="16" t="s">
        <v>109</v>
      </c>
    </row>
    <row r="4" spans="1:22" ht="15.95">
      <c r="A4" s="32" t="s">
        <v>110</v>
      </c>
      <c r="B4" s="27">
        <f>'Parametre - Agendové IS'!D117</f>
        <v>0</v>
      </c>
      <c r="C4" s="27">
        <f>'Parametre - Agendové IS'!E117</f>
        <v>0</v>
      </c>
      <c r="D4" s="29">
        <f>IF(ISERR(C4-B4),"-",C4-B4)</f>
        <v>0</v>
      </c>
      <c r="E4" s="331"/>
      <c r="F4" s="332"/>
      <c r="G4" s="34">
        <f t="shared" ref="G4:G13" si="0">IF(ISERR(F4-E4),"-",F4-E4)</f>
        <v>0</v>
      </c>
      <c r="H4" s="30">
        <v>0</v>
      </c>
      <c r="I4" s="26">
        <f>'Parametre - Agendové IS'!E97</f>
        <v>0</v>
      </c>
      <c r="J4" s="34">
        <f>IF(ISERR(I4-H4),"-",I4-H4)</f>
        <v>0</v>
      </c>
      <c r="K4" s="27">
        <f>'Parametre - Agendové IS'!D127</f>
        <v>0</v>
      </c>
      <c r="L4" s="27">
        <f>'Parametre - Agendové IS'!E127</f>
        <v>0</v>
      </c>
      <c r="M4" s="29">
        <f>IF(ISERR(L4-K4),"-",L4-K4)</f>
        <v>0</v>
      </c>
      <c r="N4" s="26">
        <f>-'Parametre - Agendové IS'!D77</f>
        <v>-3239632.6094704792</v>
      </c>
      <c r="O4" s="26">
        <f>-'Parametre - Agendové IS'!E77</f>
        <v>-3239632.6094704792</v>
      </c>
      <c r="P4" s="34">
        <f t="shared" ref="P4:P13" si="1">IF(ISERR(O4-N4),"-",O4-N4)</f>
        <v>0</v>
      </c>
      <c r="Q4" s="27">
        <f>SUM(B4,E4)</f>
        <v>0</v>
      </c>
      <c r="R4" s="26">
        <f t="shared" ref="R4:R13" si="2">SUM(C4,F4)</f>
        <v>0</v>
      </c>
      <c r="S4" s="29">
        <f>R4-Q4</f>
        <v>0</v>
      </c>
      <c r="T4" s="27">
        <f>SUM(H4,K4,N4)</f>
        <v>-3239632.6094704792</v>
      </c>
      <c r="U4" s="26">
        <f>SUM(I4,L4,O4)</f>
        <v>-3239632.6094704792</v>
      </c>
      <c r="V4" s="29">
        <f>U4-T4</f>
        <v>0</v>
      </c>
    </row>
    <row r="5" spans="1:22" ht="15.95">
      <c r="A5" s="33" t="s">
        <v>111</v>
      </c>
      <c r="B5" s="27">
        <f>'Parametre - Agendové IS'!D118</f>
        <v>0</v>
      </c>
      <c r="C5" s="27">
        <f>'Parametre - Agendové IS'!E118</f>
        <v>0</v>
      </c>
      <c r="D5" s="29">
        <f t="shared" ref="D5:D13" si="3">IF(ISERR(C5-B5),"-",C5-B5)</f>
        <v>0</v>
      </c>
      <c r="E5" s="331"/>
      <c r="F5" s="332"/>
      <c r="G5" s="29">
        <f t="shared" si="0"/>
        <v>0</v>
      </c>
      <c r="H5" s="30">
        <v>0</v>
      </c>
      <c r="I5" s="26">
        <f>'Parametre - Agendové IS'!E98</f>
        <v>0</v>
      </c>
      <c r="J5" s="142">
        <f>IF(ISERR(I5-H5),"-",I5-H5)</f>
        <v>0</v>
      </c>
      <c r="K5" s="27">
        <f>'Parametre - Agendové IS'!D128</f>
        <v>0</v>
      </c>
      <c r="L5" s="27">
        <f>'Parametre - Agendové IS'!E128</f>
        <v>0</v>
      </c>
      <c r="M5" s="29">
        <f t="shared" ref="M5:M13" si="4">IF(ISERR(L5-K5),"-",L5-K5)</f>
        <v>0</v>
      </c>
      <c r="N5" s="26">
        <f>-'Parametre - Agendové IS'!D78</f>
        <v>-3213003.544070866</v>
      </c>
      <c r="O5" s="26">
        <f>-'Parametre - Agendové IS'!E78</f>
        <v>-2820039.9281204725</v>
      </c>
      <c r="P5" s="29">
        <f t="shared" si="1"/>
        <v>392963.61595039349</v>
      </c>
      <c r="Q5" s="27">
        <f t="shared" ref="Q5:Q13" si="5">SUM(B5,E5)</f>
        <v>0</v>
      </c>
      <c r="R5" s="26">
        <f t="shared" si="2"/>
        <v>0</v>
      </c>
      <c r="S5" s="29">
        <f t="shared" ref="S5:S12" si="6">R5-Q5</f>
        <v>0</v>
      </c>
      <c r="T5" s="27">
        <f t="shared" ref="T5:U13" si="7">SUM(H5,K5,N5)</f>
        <v>-3213003.544070866</v>
      </c>
      <c r="U5" s="26">
        <f t="shared" si="7"/>
        <v>-2820039.9281204725</v>
      </c>
      <c r="V5" s="29">
        <f t="shared" ref="V5:V13" si="8">U5-T5</f>
        <v>392963.61595039349</v>
      </c>
    </row>
    <row r="6" spans="1:22" ht="15.95">
      <c r="A6" s="33" t="s">
        <v>112</v>
      </c>
      <c r="B6" s="27">
        <f>'Parametre - Agendové IS'!D119</f>
        <v>0</v>
      </c>
      <c r="C6" s="27">
        <f>'Parametre - Agendové IS'!E119</f>
        <v>0</v>
      </c>
      <c r="D6" s="29">
        <f t="shared" si="3"/>
        <v>0</v>
      </c>
      <c r="E6" s="331"/>
      <c r="F6" s="332"/>
      <c r="G6" s="29">
        <f t="shared" si="0"/>
        <v>0</v>
      </c>
      <c r="H6" s="30">
        <v>0</v>
      </c>
      <c r="I6" s="26">
        <f>'Parametre - Agendové IS'!E99</f>
        <v>0</v>
      </c>
      <c r="J6" s="29">
        <f t="shared" ref="J6:J13" si="9">IF(ISERR(I6-H6),"-",I6-H6)</f>
        <v>0</v>
      </c>
      <c r="K6" s="27">
        <f>'Parametre - Agendové IS'!D129</f>
        <v>0</v>
      </c>
      <c r="L6" s="27">
        <f>'Parametre - Agendové IS'!E129</f>
        <v>0</v>
      </c>
      <c r="M6" s="29">
        <f t="shared" si="4"/>
        <v>0</v>
      </c>
      <c r="N6" s="26">
        <f>-'Parametre - Agendové IS'!D79</f>
        <v>-3213003.544070866</v>
      </c>
      <c r="O6" s="26">
        <f>-'Parametre - Agendové IS'!E79</f>
        <v>-1845417.0243787281</v>
      </c>
      <c r="P6" s="29">
        <f t="shared" si="1"/>
        <v>1367586.5196921378</v>
      </c>
      <c r="Q6" s="27">
        <f t="shared" si="5"/>
        <v>0</v>
      </c>
      <c r="R6" s="26">
        <f t="shared" si="2"/>
        <v>0</v>
      </c>
      <c r="S6" s="29">
        <f t="shared" si="6"/>
        <v>0</v>
      </c>
      <c r="T6" s="27">
        <f t="shared" si="7"/>
        <v>-3213003.544070866</v>
      </c>
      <c r="U6" s="26">
        <f t="shared" si="7"/>
        <v>-1845417.0243787281</v>
      </c>
      <c r="V6" s="29">
        <f t="shared" si="8"/>
        <v>1367586.5196921378</v>
      </c>
    </row>
    <row r="7" spans="1:22" ht="15.95">
      <c r="A7" s="33" t="s">
        <v>113</v>
      </c>
      <c r="B7" s="27">
        <f>'Parametre - Agendové IS'!D120</f>
        <v>0</v>
      </c>
      <c r="C7" s="27">
        <f>'Parametre - Agendové IS'!E120</f>
        <v>0</v>
      </c>
      <c r="D7" s="29">
        <f t="shared" si="3"/>
        <v>0</v>
      </c>
      <c r="E7" s="331"/>
      <c r="F7" s="332"/>
      <c r="G7" s="29">
        <f t="shared" si="0"/>
        <v>0</v>
      </c>
      <c r="H7" s="30">
        <v>0</v>
      </c>
      <c r="I7" s="26">
        <f>'Parametre - Agendové IS'!E100</f>
        <v>0</v>
      </c>
      <c r="J7" s="29">
        <f t="shared" si="9"/>
        <v>0</v>
      </c>
      <c r="K7" s="27">
        <f>'Parametre - Agendové IS'!D130</f>
        <v>0</v>
      </c>
      <c r="L7" s="27">
        <f>'Parametre - Agendové IS'!E130</f>
        <v>0</v>
      </c>
      <c r="M7" s="29">
        <f t="shared" si="4"/>
        <v>0</v>
      </c>
      <c r="N7" s="26">
        <f>-'Parametre - Agendové IS'!D80</f>
        <v>-3213003.544070866</v>
      </c>
      <c r="O7" s="26">
        <f>-'Parametre - Agendové IS'!E80</f>
        <v>-1361816.2413567512</v>
      </c>
      <c r="P7" s="29">
        <f t="shared" si="1"/>
        <v>1851187.3027141148</v>
      </c>
      <c r="Q7" s="27">
        <f t="shared" si="5"/>
        <v>0</v>
      </c>
      <c r="R7" s="26">
        <f t="shared" si="2"/>
        <v>0</v>
      </c>
      <c r="S7" s="29">
        <f t="shared" si="6"/>
        <v>0</v>
      </c>
      <c r="T7" s="27">
        <f t="shared" si="7"/>
        <v>-3213003.544070866</v>
      </c>
      <c r="U7" s="26">
        <f t="shared" si="7"/>
        <v>-1361816.2413567512</v>
      </c>
      <c r="V7" s="29">
        <f t="shared" si="8"/>
        <v>1851187.3027141148</v>
      </c>
    </row>
    <row r="8" spans="1:22" ht="15.95">
      <c r="A8" s="33" t="s">
        <v>114</v>
      </c>
      <c r="B8" s="27">
        <f>'Parametre - Agendové IS'!D121</f>
        <v>0</v>
      </c>
      <c r="C8" s="27">
        <f>'Parametre - Agendové IS'!E121</f>
        <v>0</v>
      </c>
      <c r="D8" s="29">
        <f t="shared" si="3"/>
        <v>0</v>
      </c>
      <c r="E8" s="331"/>
      <c r="F8" s="332"/>
      <c r="G8" s="29">
        <f t="shared" si="0"/>
        <v>0</v>
      </c>
      <c r="H8" s="30">
        <v>0</v>
      </c>
      <c r="I8" s="26">
        <f>'Parametre - Agendové IS'!E101</f>
        <v>0</v>
      </c>
      <c r="J8" s="29">
        <f t="shared" si="9"/>
        <v>0</v>
      </c>
      <c r="K8" s="27">
        <f>'Parametre - Agendové IS'!D131</f>
        <v>0</v>
      </c>
      <c r="L8" s="27">
        <f>'Parametre - Agendové IS'!E131</f>
        <v>0</v>
      </c>
      <c r="M8" s="29">
        <f t="shared" si="4"/>
        <v>0</v>
      </c>
      <c r="N8" s="26">
        <f>-'Parametre - Agendové IS'!D81</f>
        <v>-3213003.544070866</v>
      </c>
      <c r="O8" s="26">
        <f>-'Parametre - Agendové IS'!E81</f>
        <v>-1278600.4119829582</v>
      </c>
      <c r="P8" s="29">
        <f t="shared" si="1"/>
        <v>1934403.1320879078</v>
      </c>
      <c r="Q8" s="27">
        <f t="shared" si="5"/>
        <v>0</v>
      </c>
      <c r="R8" s="26">
        <f t="shared" si="2"/>
        <v>0</v>
      </c>
      <c r="S8" s="29">
        <f t="shared" si="6"/>
        <v>0</v>
      </c>
      <c r="T8" s="27">
        <f t="shared" si="7"/>
        <v>-3213003.544070866</v>
      </c>
      <c r="U8" s="26">
        <f t="shared" si="7"/>
        <v>-1278600.4119829582</v>
      </c>
      <c r="V8" s="29">
        <f t="shared" si="8"/>
        <v>1934403.1320879078</v>
      </c>
    </row>
    <row r="9" spans="1:22" ht="15.95">
      <c r="A9" s="33" t="s">
        <v>115</v>
      </c>
      <c r="B9" s="27">
        <f>'Parametre - Agendové IS'!D122</f>
        <v>0</v>
      </c>
      <c r="C9" s="27">
        <f>'Parametre - Agendové IS'!E122</f>
        <v>0</v>
      </c>
      <c r="D9" s="29">
        <f t="shared" si="3"/>
        <v>0</v>
      </c>
      <c r="E9" s="331"/>
      <c r="F9" s="332"/>
      <c r="G9" s="29">
        <f t="shared" si="0"/>
        <v>0</v>
      </c>
      <c r="H9" s="30">
        <v>0</v>
      </c>
      <c r="I9" s="26">
        <f>'Parametre - Agendové IS'!E102</f>
        <v>0</v>
      </c>
      <c r="J9" s="29">
        <f t="shared" si="9"/>
        <v>0</v>
      </c>
      <c r="K9" s="27">
        <f>'Parametre - Agendové IS'!D132</f>
        <v>0</v>
      </c>
      <c r="L9" s="27">
        <f>'Parametre - Agendové IS'!E132</f>
        <v>0</v>
      </c>
      <c r="M9" s="29">
        <f t="shared" si="4"/>
        <v>0</v>
      </c>
      <c r="N9" s="26">
        <f>-'Parametre - Agendové IS'!D82</f>
        <v>-3213003.544070866</v>
      </c>
      <c r="O9" s="26">
        <f>-'Parametre - Agendové IS'!E82</f>
        <v>-1278600.4119829582</v>
      </c>
      <c r="P9" s="29">
        <f t="shared" si="1"/>
        <v>1934403.1320879078</v>
      </c>
      <c r="Q9" s="27">
        <f t="shared" si="5"/>
        <v>0</v>
      </c>
      <c r="R9" s="26">
        <f t="shared" si="2"/>
        <v>0</v>
      </c>
      <c r="S9" s="29">
        <f t="shared" si="6"/>
        <v>0</v>
      </c>
      <c r="T9" s="27">
        <f t="shared" si="7"/>
        <v>-3213003.544070866</v>
      </c>
      <c r="U9" s="26">
        <f t="shared" si="7"/>
        <v>-1278600.4119829582</v>
      </c>
      <c r="V9" s="29">
        <f t="shared" si="8"/>
        <v>1934403.1320879078</v>
      </c>
    </row>
    <row r="10" spans="1:22" ht="15.95">
      <c r="A10" s="33" t="s">
        <v>116</v>
      </c>
      <c r="B10" s="27">
        <f>'Parametre - Agendové IS'!D123</f>
        <v>0</v>
      </c>
      <c r="C10" s="27">
        <f>'Parametre - Agendové IS'!E123</f>
        <v>0</v>
      </c>
      <c r="D10" s="29">
        <f t="shared" si="3"/>
        <v>0</v>
      </c>
      <c r="E10" s="331"/>
      <c r="F10" s="332"/>
      <c r="G10" s="29">
        <f t="shared" si="0"/>
        <v>0</v>
      </c>
      <c r="H10" s="30">
        <v>0</v>
      </c>
      <c r="I10" s="26">
        <f>'Parametre - Agendové IS'!E103</f>
        <v>0</v>
      </c>
      <c r="J10" s="29">
        <f t="shared" si="9"/>
        <v>0</v>
      </c>
      <c r="K10" s="27">
        <f>'Parametre - Agendové IS'!D133</f>
        <v>0</v>
      </c>
      <c r="L10" s="27">
        <f>'Parametre - Agendové IS'!E133</f>
        <v>0</v>
      </c>
      <c r="M10" s="29">
        <f t="shared" si="4"/>
        <v>0</v>
      </c>
      <c r="N10" s="26">
        <f>-'Parametre - Agendové IS'!D83</f>
        <v>-3213003.544070866</v>
      </c>
      <c r="O10" s="26">
        <f>-'Parametre - Agendové IS'!E83</f>
        <v>-1278600.4119829582</v>
      </c>
      <c r="P10" s="29">
        <f t="shared" si="1"/>
        <v>1934403.1320879078</v>
      </c>
      <c r="Q10" s="27">
        <f t="shared" si="5"/>
        <v>0</v>
      </c>
      <c r="R10" s="26">
        <f t="shared" si="2"/>
        <v>0</v>
      </c>
      <c r="S10" s="29">
        <f t="shared" si="6"/>
        <v>0</v>
      </c>
      <c r="T10" s="27">
        <f t="shared" si="7"/>
        <v>-3213003.544070866</v>
      </c>
      <c r="U10" s="26">
        <f t="shared" si="7"/>
        <v>-1278600.4119829582</v>
      </c>
      <c r="V10" s="29">
        <f t="shared" si="8"/>
        <v>1934403.1320879078</v>
      </c>
    </row>
    <row r="11" spans="1:22" ht="15.95">
      <c r="A11" s="33" t="s">
        <v>117</v>
      </c>
      <c r="B11" s="27">
        <f>'Parametre - Agendové IS'!D124</f>
        <v>0</v>
      </c>
      <c r="C11" s="27">
        <f>'Parametre - Agendové IS'!E124</f>
        <v>0</v>
      </c>
      <c r="D11" s="29">
        <f t="shared" si="3"/>
        <v>0</v>
      </c>
      <c r="E11" s="331"/>
      <c r="F11" s="332"/>
      <c r="G11" s="29">
        <f t="shared" si="0"/>
        <v>0</v>
      </c>
      <c r="H11" s="30">
        <v>0</v>
      </c>
      <c r="I11" s="26">
        <f>'Parametre - Agendové IS'!E104</f>
        <v>0</v>
      </c>
      <c r="J11" s="29">
        <f t="shared" si="9"/>
        <v>0</v>
      </c>
      <c r="K11" s="27">
        <f>'Parametre - Agendové IS'!D134</f>
        <v>0</v>
      </c>
      <c r="L11" s="27">
        <f>'Parametre - Agendové IS'!E134</f>
        <v>0</v>
      </c>
      <c r="M11" s="29">
        <f t="shared" si="4"/>
        <v>0</v>
      </c>
      <c r="N11" s="26">
        <f>-'Parametre - Agendové IS'!D84</f>
        <v>-3213003.544070866</v>
      </c>
      <c r="O11" s="26">
        <f>-'Parametre - Agendové IS'!E84</f>
        <v>-1278600.4119829582</v>
      </c>
      <c r="P11" s="29">
        <f t="shared" si="1"/>
        <v>1934403.1320879078</v>
      </c>
      <c r="Q11" s="27">
        <f t="shared" si="5"/>
        <v>0</v>
      </c>
      <c r="R11" s="26">
        <f t="shared" si="2"/>
        <v>0</v>
      </c>
      <c r="S11" s="29">
        <f t="shared" si="6"/>
        <v>0</v>
      </c>
      <c r="T11" s="27">
        <f t="shared" si="7"/>
        <v>-3213003.544070866</v>
      </c>
      <c r="U11" s="26">
        <f t="shared" si="7"/>
        <v>-1278600.4119829582</v>
      </c>
      <c r="V11" s="29">
        <f t="shared" si="8"/>
        <v>1934403.1320879078</v>
      </c>
    </row>
    <row r="12" spans="1:22" ht="15.95">
      <c r="A12" s="33" t="s">
        <v>118</v>
      </c>
      <c r="B12" s="27">
        <f>'Parametre - Agendové IS'!D125</f>
        <v>0</v>
      </c>
      <c r="C12" s="27">
        <f>'Parametre - Agendové IS'!E125</f>
        <v>0</v>
      </c>
      <c r="D12" s="29">
        <f t="shared" si="3"/>
        <v>0</v>
      </c>
      <c r="E12" s="331"/>
      <c r="F12" s="332"/>
      <c r="G12" s="29">
        <f t="shared" si="0"/>
        <v>0</v>
      </c>
      <c r="H12" s="30">
        <v>0</v>
      </c>
      <c r="I12" s="26">
        <f>'Parametre - Agendové IS'!E105</f>
        <v>0</v>
      </c>
      <c r="J12" s="29">
        <f t="shared" si="9"/>
        <v>0</v>
      </c>
      <c r="K12" s="27">
        <f>'Parametre - Agendové IS'!D135</f>
        <v>0</v>
      </c>
      <c r="L12" s="27">
        <f>'Parametre - Agendové IS'!E135</f>
        <v>0</v>
      </c>
      <c r="M12" s="29">
        <f t="shared" si="4"/>
        <v>0</v>
      </c>
      <c r="N12" s="26">
        <f>-'Parametre - Agendové IS'!D85</f>
        <v>-3213003.544070866</v>
      </c>
      <c r="O12" s="26">
        <f>-'Parametre - Agendové IS'!E85</f>
        <v>-1278600.4119829582</v>
      </c>
      <c r="P12" s="29">
        <f t="shared" si="1"/>
        <v>1934403.1320879078</v>
      </c>
      <c r="Q12" s="27">
        <f t="shared" si="5"/>
        <v>0</v>
      </c>
      <c r="R12" s="26">
        <f t="shared" si="2"/>
        <v>0</v>
      </c>
      <c r="S12" s="29">
        <f t="shared" si="6"/>
        <v>0</v>
      </c>
      <c r="T12" s="27">
        <f t="shared" si="7"/>
        <v>-3213003.544070866</v>
      </c>
      <c r="U12" s="26">
        <f t="shared" si="7"/>
        <v>-1278600.4119829582</v>
      </c>
      <c r="V12" s="29">
        <f t="shared" si="8"/>
        <v>1934403.1320879078</v>
      </c>
    </row>
    <row r="13" spans="1:22" ht="15.6" customHeight="1" thickBot="1">
      <c r="A13" s="33" t="s">
        <v>119</v>
      </c>
      <c r="B13" s="47">
        <f>'Parametre - Agendové IS'!D126</f>
        <v>0</v>
      </c>
      <c r="C13" s="47">
        <f>'Parametre - Agendové IS'!E126</f>
        <v>0</v>
      </c>
      <c r="D13" s="151">
        <f t="shared" si="3"/>
        <v>0</v>
      </c>
      <c r="E13" s="333"/>
      <c r="F13" s="334"/>
      <c r="G13" s="151">
        <f t="shared" si="0"/>
        <v>0</v>
      </c>
      <c r="H13" s="30">
        <v>0</v>
      </c>
      <c r="I13" s="43">
        <f>'Parametre - Agendové IS'!E106</f>
        <v>0</v>
      </c>
      <c r="J13" s="151">
        <f t="shared" si="9"/>
        <v>0</v>
      </c>
      <c r="K13" s="47">
        <f>'Parametre - Agendové IS'!D136</f>
        <v>0</v>
      </c>
      <c r="L13" s="47">
        <f>'Parametre - Agendové IS'!E136</f>
        <v>0</v>
      </c>
      <c r="M13" s="151">
        <f t="shared" si="4"/>
        <v>0</v>
      </c>
      <c r="N13" s="43">
        <f>-'Parametre - Agendové IS'!D86</f>
        <v>-3213003.544070866</v>
      </c>
      <c r="O13" s="43">
        <f>-'Parametre - Agendové IS'!E86</f>
        <v>-1278600.4119829582</v>
      </c>
      <c r="P13" s="43">
        <f t="shared" si="1"/>
        <v>1934403.1320879078</v>
      </c>
      <c r="Q13" s="154">
        <f t="shared" si="5"/>
        <v>0</v>
      </c>
      <c r="R13" s="43">
        <f t="shared" si="2"/>
        <v>0</v>
      </c>
      <c r="S13" s="151">
        <f>R13-Q13</f>
        <v>0</v>
      </c>
      <c r="T13" s="47">
        <f t="shared" si="7"/>
        <v>-3213003.544070866</v>
      </c>
      <c r="U13" s="43">
        <f t="shared" si="7"/>
        <v>-1278600.4119829582</v>
      </c>
      <c r="V13" s="151">
        <f t="shared" si="8"/>
        <v>1934403.1320879078</v>
      </c>
    </row>
    <row r="14" spans="1:22" ht="15.95">
      <c r="A14" s="155" t="s">
        <v>76</v>
      </c>
      <c r="B14" s="527">
        <f>SUM(B4:B13)</f>
        <v>0</v>
      </c>
      <c r="C14" s="527">
        <f t="shared" ref="C14:P14" si="10">SUM(C4:C13)</f>
        <v>0</v>
      </c>
      <c r="D14" s="528">
        <f t="shared" si="10"/>
        <v>0</v>
      </c>
      <c r="E14" s="527">
        <f t="shared" si="10"/>
        <v>0</v>
      </c>
      <c r="F14" s="529">
        <f t="shared" si="10"/>
        <v>0</v>
      </c>
      <c r="G14" s="528">
        <f t="shared" si="10"/>
        <v>0</v>
      </c>
      <c r="H14" s="527">
        <f t="shared" si="10"/>
        <v>0</v>
      </c>
      <c r="I14" s="529">
        <f t="shared" si="10"/>
        <v>0</v>
      </c>
      <c r="J14" s="528">
        <f t="shared" si="10"/>
        <v>0</v>
      </c>
      <c r="K14" s="527">
        <f t="shared" si="10"/>
        <v>0</v>
      </c>
      <c r="L14" s="527">
        <f t="shared" si="10"/>
        <v>0</v>
      </c>
      <c r="M14" s="528">
        <f t="shared" si="10"/>
        <v>0</v>
      </c>
      <c r="N14" s="529">
        <f t="shared" si="10"/>
        <v>-32156664.506108273</v>
      </c>
      <c r="O14" s="529">
        <f t="shared" si="10"/>
        <v>-16938508.275224175</v>
      </c>
      <c r="P14" s="530">
        <f t="shared" si="10"/>
        <v>15218156.230884094</v>
      </c>
      <c r="Q14" s="531">
        <f t="shared" ref="Q14:V14" si="11">SUM(Q4:Q13)</f>
        <v>0</v>
      </c>
      <c r="R14" s="529">
        <f t="shared" si="11"/>
        <v>0</v>
      </c>
      <c r="S14" s="532">
        <f t="shared" si="11"/>
        <v>0</v>
      </c>
      <c r="T14" s="531">
        <f t="shared" si="11"/>
        <v>-32156664.506108273</v>
      </c>
      <c r="U14" s="529">
        <f t="shared" si="11"/>
        <v>-16938508.275224175</v>
      </c>
      <c r="V14" s="533">
        <f t="shared" si="11"/>
        <v>15218156.230884094</v>
      </c>
    </row>
    <row r="15" spans="1:22" ht="17.100000000000001" thickBot="1">
      <c r="A15" s="156" t="s">
        <v>183</v>
      </c>
      <c r="B15" s="534"/>
      <c r="C15" s="534"/>
      <c r="D15" s="535">
        <f>D4+NPV(Faktory!$D$5,'Prínosy - Agendové IS'!D5:D13)</f>
        <v>0</v>
      </c>
      <c r="E15" s="536"/>
      <c r="F15" s="537"/>
      <c r="G15" s="535">
        <f>G4+NPV(Faktory!$D$3,'Prínosy - Agendové IS'!G5:G13)</f>
        <v>0</v>
      </c>
      <c r="H15" s="536"/>
      <c r="I15" s="537"/>
      <c r="J15" s="535">
        <f>J4+NPV(Faktory!$D$5,'Prínosy - Agendové IS'!J5:J13)</f>
        <v>0</v>
      </c>
      <c r="K15" s="534"/>
      <c r="L15" s="534"/>
      <c r="M15" s="535">
        <f>M4+NPV(Faktory!$D$5,'Prínosy - Agendové IS'!M5:M13)</f>
        <v>0</v>
      </c>
      <c r="N15" s="537"/>
      <c r="O15" s="537"/>
      <c r="P15" s="538">
        <f>P4+NPV(Faktory!$D$5,'Prínosy - Agendové IS'!P5:P13)</f>
        <v>11695350.538742738</v>
      </c>
      <c r="Q15" s="539"/>
      <c r="R15" s="537"/>
      <c r="S15" s="535">
        <f>S4+NPV(Faktory!$D$5,'Prínosy - Agendové IS'!S5:S13)</f>
        <v>0</v>
      </c>
      <c r="T15" s="539"/>
      <c r="U15" s="537"/>
      <c r="V15" s="535">
        <f>V4+NPV(Faktory!$D$5,'Prínosy - Agendové IS'!V5:V13)</f>
        <v>11695350.538742738</v>
      </c>
    </row>
    <row r="17" spans="2:2">
      <c r="B17" s="101" t="s">
        <v>184</v>
      </c>
    </row>
    <row r="38" spans="15:15">
      <c r="O38" s="153"/>
    </row>
  </sheetData>
  <protectedRanges>
    <protectedRange algorithmName="SHA-512" hashValue="f4ycvS5NMakRYlpexdvZE7kc5B00PVZgCpNS64jzUJaJceYSE+aleudxwPGxr22CZo/5IZ2uTHVQQMolnN60/A==" saltValue="c0KVc6r/LTYq/uhy9236YA==" spinCount="100000" sqref="E2:G15" name="Rozsah1"/>
  </protectedRanges>
  <mergeCells count="10">
    <mergeCell ref="B1:D1"/>
    <mergeCell ref="Q1:V1"/>
    <mergeCell ref="B2:D2"/>
    <mergeCell ref="E2:G2"/>
    <mergeCell ref="H2:J2"/>
    <mergeCell ref="K2:M2"/>
    <mergeCell ref="Q2:S2"/>
    <mergeCell ref="T2:V2"/>
    <mergeCell ref="N2:P2"/>
    <mergeCell ref="E1:P1"/>
  </mergeCells>
  <pageMargins left="0.7" right="0.7" top="0.75" bottom="0.75" header="0.3" footer="0.3"/>
  <pageSetup paperSize="9" scale="2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2"/>
  <sheetViews>
    <sheetView view="pageBreakPreview" topLeftCell="B1" zoomScale="60" zoomScaleNormal="80" workbookViewId="0" xr3:uid="{9B253EF2-77E0-53E3-AE26-4D66ECD923F3}">
      <selection activeCell="Q9" sqref="Q9"/>
    </sheetView>
  </sheetViews>
  <sheetFormatPr defaultColWidth="8.85546875" defaultRowHeight="15"/>
  <cols>
    <col min="2" max="2" width="14.28515625" customWidth="1"/>
    <col min="3" max="3" width="15.85546875" bestFit="1" customWidth="1"/>
    <col min="4" max="4" width="16.7109375" bestFit="1" customWidth="1"/>
    <col min="5" max="6" width="13.42578125" bestFit="1" customWidth="1"/>
    <col min="7" max="7" width="16.7109375" bestFit="1" customWidth="1"/>
    <col min="8" max="8" width="14.42578125" bestFit="1" customWidth="1"/>
    <col min="9" max="9" width="13.42578125" bestFit="1" customWidth="1"/>
    <col min="10" max="10" width="16.7109375" bestFit="1" customWidth="1"/>
    <col min="11" max="16" width="16.7109375" customWidth="1"/>
    <col min="17" max="17" width="13.42578125" bestFit="1" customWidth="1"/>
    <col min="18" max="18" width="15.85546875" bestFit="1" customWidth="1"/>
    <col min="19" max="19" width="15.28515625" customWidth="1"/>
    <col min="20" max="21" width="17" bestFit="1" customWidth="1"/>
    <col min="22" max="22" width="14.28515625" bestFit="1" customWidth="1"/>
  </cols>
  <sheetData>
    <row r="1" spans="1:23" ht="15.75" customHeight="1" thickBot="1">
      <c r="A1" s="37"/>
      <c r="B1" s="740" t="s">
        <v>185</v>
      </c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2"/>
      <c r="N1" s="740" t="s">
        <v>85</v>
      </c>
      <c r="O1" s="741"/>
      <c r="P1" s="742"/>
      <c r="Q1" s="739" t="s">
        <v>186</v>
      </c>
      <c r="R1" s="739"/>
      <c r="S1" s="739"/>
      <c r="T1" s="692" t="s">
        <v>187</v>
      </c>
      <c r="U1" s="693"/>
      <c r="V1" s="694"/>
    </row>
    <row r="2" spans="1:23" ht="15.75" customHeight="1" thickBot="1">
      <c r="A2" s="8"/>
      <c r="B2" s="693" t="s">
        <v>83</v>
      </c>
      <c r="C2" s="693"/>
      <c r="D2" s="694"/>
      <c r="E2" s="693" t="s">
        <v>82</v>
      </c>
      <c r="F2" s="693"/>
      <c r="G2" s="694"/>
      <c r="H2" s="693" t="s">
        <v>81</v>
      </c>
      <c r="I2" s="693"/>
      <c r="J2" s="694"/>
      <c r="K2" s="693" t="s">
        <v>188</v>
      </c>
      <c r="L2" s="693"/>
      <c r="M2" s="694"/>
      <c r="N2" s="693"/>
      <c r="O2" s="693"/>
      <c r="P2" s="694"/>
      <c r="Q2" s="693" t="s">
        <v>78</v>
      </c>
      <c r="R2" s="693"/>
      <c r="S2" s="694"/>
      <c r="T2" s="8"/>
      <c r="U2" s="8"/>
      <c r="V2" s="38"/>
    </row>
    <row r="3" spans="1:23" ht="19.350000000000001" customHeight="1" thickBot="1">
      <c r="A3" s="40" t="s">
        <v>106</v>
      </c>
      <c r="B3" s="41" t="s">
        <v>107</v>
      </c>
      <c r="C3" s="41" t="s">
        <v>108</v>
      </c>
      <c r="D3" s="42" t="s">
        <v>109</v>
      </c>
      <c r="E3" s="41" t="s">
        <v>107</v>
      </c>
      <c r="F3" s="41" t="s">
        <v>108</v>
      </c>
      <c r="G3" s="42" t="s">
        <v>109</v>
      </c>
      <c r="H3" s="41" t="s">
        <v>107</v>
      </c>
      <c r="I3" s="41" t="s">
        <v>108</v>
      </c>
      <c r="J3" s="42" t="s">
        <v>109</v>
      </c>
      <c r="K3" s="41" t="s">
        <v>107</v>
      </c>
      <c r="L3" s="41" t="s">
        <v>108</v>
      </c>
      <c r="M3" s="42" t="s">
        <v>109</v>
      </c>
      <c r="N3" s="41" t="s">
        <v>107</v>
      </c>
      <c r="O3" s="41" t="s">
        <v>108</v>
      </c>
      <c r="P3" s="42" t="s">
        <v>109</v>
      </c>
      <c r="Q3" s="41" t="s">
        <v>107</v>
      </c>
      <c r="R3" s="41" t="s">
        <v>108</v>
      </c>
      <c r="S3" s="42" t="s">
        <v>109</v>
      </c>
      <c r="T3" s="41" t="s">
        <v>107</v>
      </c>
      <c r="U3" s="41" t="s">
        <v>108</v>
      </c>
      <c r="V3" s="42" t="s">
        <v>109</v>
      </c>
    </row>
    <row r="4" spans="1:23" ht="15.95">
      <c r="A4" s="25" t="s">
        <v>110</v>
      </c>
      <c r="B4" s="26">
        <f>TCO!D26+TCO!D27</f>
        <v>307279</v>
      </c>
      <c r="C4" s="26">
        <f>(TCO!D$12*(1+$W$5))+TCO!D$13</f>
        <v>1040595.1699999999</v>
      </c>
      <c r="D4" s="34">
        <f>C4-B4</f>
        <v>733316.16999999993</v>
      </c>
      <c r="E4" s="27">
        <f>TCO!D22+TCO!D23</f>
        <v>1800176.08</v>
      </c>
      <c r="F4" s="26">
        <f>(TCO!D$7*(1+$W$5))+TCO!D$8</f>
        <v>2192468.08</v>
      </c>
      <c r="G4" s="34">
        <f>F4-E4</f>
        <v>392292</v>
      </c>
      <c r="H4" s="26">
        <f>TCO!D24+TCO!D25</f>
        <v>3581891.2</v>
      </c>
      <c r="I4" s="26">
        <f>(TCO!D$9*(1+$W$5))+TCO!D$10</f>
        <v>12137971.199999999</v>
      </c>
      <c r="J4" s="34">
        <f>I4-H4</f>
        <v>8556080</v>
      </c>
      <c r="K4" s="27">
        <v>0</v>
      </c>
      <c r="L4" s="27">
        <f>TCO!D11</f>
        <v>0</v>
      </c>
      <c r="M4" s="34">
        <f>L4-K4</f>
        <v>0</v>
      </c>
      <c r="N4" s="27">
        <v>0</v>
      </c>
      <c r="O4" s="27">
        <f>TCO!D14</f>
        <v>628455.43682795693</v>
      </c>
      <c r="P4" s="34">
        <f>O4-N4</f>
        <v>628455.43682795693</v>
      </c>
      <c r="Q4" s="27">
        <f>'Parametre - Agendové IS'!D107</f>
        <v>0</v>
      </c>
      <c r="R4" s="27">
        <f>'Parametre - Agendové IS'!E107</f>
        <v>0</v>
      </c>
      <c r="S4" s="34">
        <f t="shared" ref="S4:S13" si="0">IF(ISERR(R4-Q4),"-",R4-Q4)</f>
        <v>0</v>
      </c>
      <c r="T4" s="26">
        <f>SUM(B4,E4,H4,K4,N4,Q4)</f>
        <v>5689346.2800000003</v>
      </c>
      <c r="U4" s="26">
        <f>((C4+F4+L4+O4+I4)*(1+$W$4))+R4</f>
        <v>15999489.886827957</v>
      </c>
      <c r="V4" s="34">
        <f>U4-T4</f>
        <v>10310143.606827956</v>
      </c>
      <c r="W4" s="192">
        <f>'Analyza citlivosti - AgendovéIS'!B7</f>
        <v>0</v>
      </c>
    </row>
    <row r="5" spans="1:23" ht="15.95">
      <c r="A5" s="25" t="s">
        <v>111</v>
      </c>
      <c r="B5" s="26">
        <f>TCO!E26+TCO!E27</f>
        <v>307279</v>
      </c>
      <c r="C5" s="26">
        <f>(TCO!E$12*(1+$W$5))+TCO!E$13</f>
        <v>240195.16999999998</v>
      </c>
      <c r="D5" s="29">
        <f t="shared" ref="D5:D13" si="1">C5-B5</f>
        <v>-67083.830000000016</v>
      </c>
      <c r="E5" s="27">
        <f>TCO!E22+TCO!E23</f>
        <v>1800176.08</v>
      </c>
      <c r="F5" s="26">
        <f>(TCO!E$7*(1+$W$5))+TCO!E$8</f>
        <v>1813789.33</v>
      </c>
      <c r="G5" s="29">
        <f t="shared" ref="G5:G13" si="2">F5-E5</f>
        <v>13613.25</v>
      </c>
      <c r="H5" s="26">
        <f>TCO!E24+TCO!E25</f>
        <v>3581891.2</v>
      </c>
      <c r="I5" s="26">
        <f>(TCO!E$9*(1+$W$5))+TCO!E$10</f>
        <v>11346091.199999999</v>
      </c>
      <c r="J5" s="29">
        <f t="shared" ref="J5:J13" si="3">I5-H5</f>
        <v>7764199.9999999991</v>
      </c>
      <c r="K5" s="27">
        <v>0</v>
      </c>
      <c r="L5" s="27">
        <f>TCO!E11</f>
        <v>0</v>
      </c>
      <c r="M5" s="29">
        <f t="shared" ref="M5:M13" si="4">L5-K5</f>
        <v>0</v>
      </c>
      <c r="N5" s="27">
        <v>0</v>
      </c>
      <c r="O5" s="27">
        <f>TCO!E14</f>
        <v>628455.43682795693</v>
      </c>
      <c r="P5" s="29">
        <f t="shared" ref="P5:P13" si="5">O5-N5</f>
        <v>628455.43682795693</v>
      </c>
      <c r="Q5" s="27">
        <f>'Parametre - Agendové IS'!D108</f>
        <v>0</v>
      </c>
      <c r="R5" s="27">
        <f>'Parametre - Agendové IS'!E108</f>
        <v>0</v>
      </c>
      <c r="S5" s="29">
        <f t="shared" si="0"/>
        <v>0</v>
      </c>
      <c r="T5" s="26">
        <f t="shared" ref="T5:T13" si="6">SUM(B5,E5,H5,K5,N5,Q5)</f>
        <v>5689346.2800000003</v>
      </c>
      <c r="U5" s="26">
        <f t="shared" ref="U5:U13" si="7">((C5+F5+L5+O5+I5)*(1+$W$4))+R5</f>
        <v>14028531.136827957</v>
      </c>
      <c r="V5" s="29">
        <f t="shared" ref="V5:V13" si="8">U5-T5</f>
        <v>8339184.8568279566</v>
      </c>
      <c r="W5" s="192">
        <f>'Analyza citlivosti - AgendovéIS'!E7</f>
        <v>0</v>
      </c>
    </row>
    <row r="6" spans="1:23" ht="15.95">
      <c r="A6" s="25" t="s">
        <v>112</v>
      </c>
      <c r="B6" s="26">
        <f>TCO!F26+TCO!F27</f>
        <v>307279</v>
      </c>
      <c r="C6" s="26">
        <f>(TCO!F$12*(1+$W$5))+TCO!F$13</f>
        <v>240195.16999999998</v>
      </c>
      <c r="D6" s="29">
        <f t="shared" si="1"/>
        <v>-67083.830000000016</v>
      </c>
      <c r="E6" s="27">
        <f>TCO!F22+TCO!F23</f>
        <v>1800176.08</v>
      </c>
      <c r="F6" s="26">
        <f>(TCO!F$7*(1+$W$5))+TCO!F$8</f>
        <v>440605.25</v>
      </c>
      <c r="G6" s="29">
        <f t="shared" si="2"/>
        <v>-1359570.83</v>
      </c>
      <c r="H6" s="26">
        <f>TCO!F24+TCO!F25</f>
        <v>3581891.2</v>
      </c>
      <c r="I6" s="26">
        <f>(TCO!F$9*(1+$W$5))+TCO!F$10</f>
        <v>2255029.6</v>
      </c>
      <c r="J6" s="29">
        <f t="shared" si="3"/>
        <v>-1326861.6000000001</v>
      </c>
      <c r="K6" s="27">
        <v>0</v>
      </c>
      <c r="L6" s="27">
        <f>TCO!F11</f>
        <v>0</v>
      </c>
      <c r="M6" s="29">
        <f t="shared" si="4"/>
        <v>0</v>
      </c>
      <c r="N6" s="27">
        <v>0</v>
      </c>
      <c r="O6" s="27">
        <f>TCO!F14</f>
        <v>0</v>
      </c>
      <c r="P6" s="29">
        <f t="shared" si="5"/>
        <v>0</v>
      </c>
      <c r="Q6" s="27">
        <f>'Parametre - Agendové IS'!D109</f>
        <v>0</v>
      </c>
      <c r="R6" s="27">
        <f>'Parametre - Agendové IS'!E109</f>
        <v>0</v>
      </c>
      <c r="S6" s="29">
        <f t="shared" si="0"/>
        <v>0</v>
      </c>
      <c r="T6" s="26">
        <f t="shared" si="6"/>
        <v>5689346.2800000003</v>
      </c>
      <c r="U6" s="26">
        <f t="shared" si="7"/>
        <v>2935830.02</v>
      </c>
      <c r="V6" s="29">
        <f t="shared" si="8"/>
        <v>-2753516.2600000002</v>
      </c>
    </row>
    <row r="7" spans="1:23" ht="15.95">
      <c r="A7" s="25" t="s">
        <v>113</v>
      </c>
      <c r="B7" s="26">
        <f>TCO!G26+TCO!G27</f>
        <v>307279</v>
      </c>
      <c r="C7" s="26">
        <f>(TCO!G$12*(1+$W$5))+TCO!G$13</f>
        <v>135904.79999999999</v>
      </c>
      <c r="D7" s="29">
        <f t="shared" si="1"/>
        <v>-171374.2</v>
      </c>
      <c r="E7" s="27">
        <f>TCO!G22+TCO!G23</f>
        <v>1800176.08</v>
      </c>
      <c r="F7" s="26">
        <f>(TCO!G$7*(1+$W$5))+TCO!G$8</f>
        <v>440605.25</v>
      </c>
      <c r="G7" s="29">
        <f t="shared" si="2"/>
        <v>-1359570.83</v>
      </c>
      <c r="H7" s="26">
        <f>TCO!G24+TCO!G25</f>
        <v>3581891.2</v>
      </c>
      <c r="I7" s="26">
        <f>(TCO!G$9*(1+$W$5))+TCO!G$10</f>
        <v>2255029.6</v>
      </c>
      <c r="J7" s="29">
        <f t="shared" si="3"/>
        <v>-1326861.6000000001</v>
      </c>
      <c r="K7" s="27">
        <v>0</v>
      </c>
      <c r="L7" s="27">
        <f>TCO!G11</f>
        <v>0</v>
      </c>
      <c r="M7" s="29">
        <f t="shared" si="4"/>
        <v>0</v>
      </c>
      <c r="N7" s="27">
        <v>0</v>
      </c>
      <c r="O7" s="27">
        <f>TCO!G14</f>
        <v>0</v>
      </c>
      <c r="P7" s="29">
        <f t="shared" si="5"/>
        <v>0</v>
      </c>
      <c r="Q7" s="27">
        <f>'Parametre - Agendové IS'!D110</f>
        <v>0</v>
      </c>
      <c r="R7" s="27">
        <f>'Parametre - Agendové IS'!E110</f>
        <v>0</v>
      </c>
      <c r="S7" s="29">
        <f t="shared" si="0"/>
        <v>0</v>
      </c>
      <c r="T7" s="26">
        <f t="shared" si="6"/>
        <v>5689346.2800000003</v>
      </c>
      <c r="U7" s="26">
        <f t="shared" si="7"/>
        <v>2831539.6500000004</v>
      </c>
      <c r="V7" s="29">
        <f t="shared" si="8"/>
        <v>-2857806.63</v>
      </c>
    </row>
    <row r="8" spans="1:23" ht="15.95">
      <c r="A8" s="25" t="s">
        <v>114</v>
      </c>
      <c r="B8" s="26">
        <f>TCO!H26+TCO!H27</f>
        <v>307279</v>
      </c>
      <c r="C8" s="26">
        <f>(TCO!H$12*(1+$W$5))+TCO!H$13</f>
        <v>135904.79999999999</v>
      </c>
      <c r="D8" s="29">
        <f t="shared" si="1"/>
        <v>-171374.2</v>
      </c>
      <c r="E8" s="27">
        <f>TCO!H22+TCO!H23</f>
        <v>1800176.08</v>
      </c>
      <c r="F8" s="26">
        <f>(TCO!H$7*(1+$W$5))+TCO!H$8</f>
        <v>440605.25</v>
      </c>
      <c r="G8" s="29">
        <f t="shared" si="2"/>
        <v>-1359570.83</v>
      </c>
      <c r="H8" s="26">
        <f>TCO!H24+TCO!H25</f>
        <v>3581891.2</v>
      </c>
      <c r="I8" s="26">
        <f>(TCO!H$9*(1+$W$5))+TCO!H$10</f>
        <v>2255029.6</v>
      </c>
      <c r="J8" s="29">
        <f t="shared" si="3"/>
        <v>-1326861.6000000001</v>
      </c>
      <c r="K8" s="27">
        <v>0</v>
      </c>
      <c r="L8" s="27">
        <f>TCO!H11</f>
        <v>0</v>
      </c>
      <c r="M8" s="29">
        <f t="shared" si="4"/>
        <v>0</v>
      </c>
      <c r="N8" s="27">
        <v>0</v>
      </c>
      <c r="O8" s="27">
        <f>TCO!H14</f>
        <v>0</v>
      </c>
      <c r="P8" s="29">
        <f t="shared" si="5"/>
        <v>0</v>
      </c>
      <c r="Q8" s="27">
        <f>'Parametre - Agendové IS'!D111</f>
        <v>0</v>
      </c>
      <c r="R8" s="27">
        <f>'Parametre - Agendové IS'!E111</f>
        <v>0</v>
      </c>
      <c r="S8" s="29">
        <f t="shared" si="0"/>
        <v>0</v>
      </c>
      <c r="T8" s="26">
        <f t="shared" si="6"/>
        <v>5689346.2800000003</v>
      </c>
      <c r="U8" s="26">
        <f t="shared" si="7"/>
        <v>2831539.6500000004</v>
      </c>
      <c r="V8" s="29">
        <f t="shared" si="8"/>
        <v>-2857806.63</v>
      </c>
    </row>
    <row r="9" spans="1:23" ht="15.95">
      <c r="A9" s="25" t="s">
        <v>115</v>
      </c>
      <c r="B9" s="26">
        <f>TCO!I26+TCO!I27</f>
        <v>307279</v>
      </c>
      <c r="C9" s="26">
        <f>(TCO!I$12*(1+$W$5))+TCO!I$13</f>
        <v>135904.79999999999</v>
      </c>
      <c r="D9" s="29">
        <f t="shared" si="1"/>
        <v>-171374.2</v>
      </c>
      <c r="E9" s="27">
        <f>TCO!I22+TCO!I23</f>
        <v>1800176.08</v>
      </c>
      <c r="F9" s="26">
        <f>(TCO!I$7*(1+$W$5))+TCO!I$8</f>
        <v>440605.25</v>
      </c>
      <c r="G9" s="29">
        <f t="shared" si="2"/>
        <v>-1359570.83</v>
      </c>
      <c r="H9" s="26">
        <f>TCO!I24+TCO!I25</f>
        <v>3581891.2</v>
      </c>
      <c r="I9" s="26">
        <f>(TCO!I$9*(1+$W$5))+TCO!I$10</f>
        <v>2255029.6</v>
      </c>
      <c r="J9" s="29">
        <f t="shared" si="3"/>
        <v>-1326861.6000000001</v>
      </c>
      <c r="K9" s="27">
        <v>0</v>
      </c>
      <c r="L9" s="27">
        <f>TCO!I11</f>
        <v>0</v>
      </c>
      <c r="M9" s="29">
        <f t="shared" si="4"/>
        <v>0</v>
      </c>
      <c r="N9" s="27">
        <v>0</v>
      </c>
      <c r="O9" s="27">
        <f>TCO!I14</f>
        <v>0</v>
      </c>
      <c r="P9" s="29">
        <f t="shared" si="5"/>
        <v>0</v>
      </c>
      <c r="Q9" s="27">
        <f>'Parametre - Agendové IS'!D112</f>
        <v>0</v>
      </c>
      <c r="R9" s="27">
        <f>'Parametre - Agendové IS'!E112</f>
        <v>0</v>
      </c>
      <c r="S9" s="29">
        <f t="shared" si="0"/>
        <v>0</v>
      </c>
      <c r="T9" s="26">
        <f t="shared" si="6"/>
        <v>5689346.2800000003</v>
      </c>
      <c r="U9" s="26">
        <f t="shared" si="7"/>
        <v>2831539.6500000004</v>
      </c>
      <c r="V9" s="29">
        <f t="shared" si="8"/>
        <v>-2857806.63</v>
      </c>
    </row>
    <row r="10" spans="1:23" ht="15.95">
      <c r="A10" s="25" t="s">
        <v>116</v>
      </c>
      <c r="B10" s="26">
        <f>TCO!J26+TCO!J27</f>
        <v>307279</v>
      </c>
      <c r="C10" s="26">
        <f>(TCO!J$12*(1+$W$5))+TCO!J$13</f>
        <v>135904.79999999999</v>
      </c>
      <c r="D10" s="29">
        <f t="shared" si="1"/>
        <v>-171374.2</v>
      </c>
      <c r="E10" s="27">
        <f>TCO!J22+TCO!J23</f>
        <v>1800176.08</v>
      </c>
      <c r="F10" s="26">
        <f>(TCO!J$7*(1+$W$5))+TCO!J$8</f>
        <v>440605.25</v>
      </c>
      <c r="G10" s="29">
        <f t="shared" si="2"/>
        <v>-1359570.83</v>
      </c>
      <c r="H10" s="26">
        <f>TCO!J24+TCO!J25</f>
        <v>3581891.2</v>
      </c>
      <c r="I10" s="26">
        <f>(TCO!J$9*(1+$W$5))+TCO!J$10</f>
        <v>2255029.6</v>
      </c>
      <c r="J10" s="29">
        <f t="shared" si="3"/>
        <v>-1326861.6000000001</v>
      </c>
      <c r="K10" s="27">
        <v>0</v>
      </c>
      <c r="L10" s="27">
        <f>TCO!J11</f>
        <v>0</v>
      </c>
      <c r="M10" s="29">
        <f t="shared" si="4"/>
        <v>0</v>
      </c>
      <c r="N10" s="27">
        <v>0</v>
      </c>
      <c r="O10" s="27">
        <f>TCO!J14</f>
        <v>0</v>
      </c>
      <c r="P10" s="29">
        <f t="shared" si="5"/>
        <v>0</v>
      </c>
      <c r="Q10" s="27">
        <f>'Parametre - Agendové IS'!D113</f>
        <v>0</v>
      </c>
      <c r="R10" s="27">
        <f>'Parametre - Agendové IS'!E113</f>
        <v>0</v>
      </c>
      <c r="S10" s="29">
        <f t="shared" si="0"/>
        <v>0</v>
      </c>
      <c r="T10" s="26">
        <f t="shared" si="6"/>
        <v>5689346.2800000003</v>
      </c>
      <c r="U10" s="26">
        <f t="shared" si="7"/>
        <v>2831539.6500000004</v>
      </c>
      <c r="V10" s="29">
        <f t="shared" si="8"/>
        <v>-2857806.63</v>
      </c>
    </row>
    <row r="11" spans="1:23" ht="15.95">
      <c r="A11" s="25" t="s">
        <v>117</v>
      </c>
      <c r="B11" s="26">
        <f>TCO!K26+TCO!K27</f>
        <v>307279</v>
      </c>
      <c r="C11" s="26">
        <f>(TCO!K$12*(1+$W$5))+TCO!K$13</f>
        <v>135904.79999999999</v>
      </c>
      <c r="D11" s="29">
        <f t="shared" si="1"/>
        <v>-171374.2</v>
      </c>
      <c r="E11" s="27">
        <f>TCO!K22+TCO!K23</f>
        <v>1800176.08</v>
      </c>
      <c r="F11" s="26">
        <f>(TCO!K$7*(1+$W$5))+TCO!K$8</f>
        <v>440605.25</v>
      </c>
      <c r="G11" s="29">
        <f t="shared" si="2"/>
        <v>-1359570.83</v>
      </c>
      <c r="H11" s="26">
        <f>TCO!K24+TCO!K25</f>
        <v>3581891.2</v>
      </c>
      <c r="I11" s="26">
        <f>(TCO!K$9*(1+$W$5))+TCO!K$10</f>
        <v>2255029.6</v>
      </c>
      <c r="J11" s="29">
        <f t="shared" si="3"/>
        <v>-1326861.6000000001</v>
      </c>
      <c r="K11" s="27">
        <v>0</v>
      </c>
      <c r="L11" s="27">
        <f>TCO!K11</f>
        <v>0</v>
      </c>
      <c r="M11" s="29">
        <f t="shared" si="4"/>
        <v>0</v>
      </c>
      <c r="N11" s="27">
        <v>0</v>
      </c>
      <c r="O11" s="27">
        <f>TCO!K14</f>
        <v>0</v>
      </c>
      <c r="P11" s="29">
        <f t="shared" si="5"/>
        <v>0</v>
      </c>
      <c r="Q11" s="27">
        <f>'Parametre - Agendové IS'!D114</f>
        <v>0</v>
      </c>
      <c r="R11" s="27">
        <f>'Parametre - Agendové IS'!E114</f>
        <v>0</v>
      </c>
      <c r="S11" s="29">
        <f t="shared" si="0"/>
        <v>0</v>
      </c>
      <c r="T11" s="26">
        <f t="shared" si="6"/>
        <v>5689346.2800000003</v>
      </c>
      <c r="U11" s="26">
        <f t="shared" si="7"/>
        <v>2831539.6500000004</v>
      </c>
      <c r="V11" s="29">
        <f t="shared" si="8"/>
        <v>-2857806.63</v>
      </c>
    </row>
    <row r="12" spans="1:23" ht="15.95">
      <c r="A12" s="25" t="s">
        <v>118</v>
      </c>
      <c r="B12" s="26">
        <f>TCO!L26+TCO!L27</f>
        <v>307279</v>
      </c>
      <c r="C12" s="26">
        <f>(TCO!L$12*(1+$W$5))+TCO!L$13</f>
        <v>135904.79999999999</v>
      </c>
      <c r="D12" s="29">
        <f t="shared" si="1"/>
        <v>-171374.2</v>
      </c>
      <c r="E12" s="27">
        <f>TCO!L22+TCO!L23</f>
        <v>1800176.08</v>
      </c>
      <c r="F12" s="26">
        <f>(TCO!L$7*(1+$W$5))+TCO!L$8</f>
        <v>440605.25</v>
      </c>
      <c r="G12" s="29">
        <f t="shared" si="2"/>
        <v>-1359570.83</v>
      </c>
      <c r="H12" s="26">
        <f>TCO!L24+TCO!L25</f>
        <v>3581891.2</v>
      </c>
      <c r="I12" s="26">
        <f>(TCO!L$9*(1+$W$5))+TCO!L$10</f>
        <v>2255029.6</v>
      </c>
      <c r="J12" s="29">
        <f t="shared" si="3"/>
        <v>-1326861.6000000001</v>
      </c>
      <c r="K12" s="27">
        <v>0</v>
      </c>
      <c r="L12" s="27">
        <f>TCO!L11</f>
        <v>0</v>
      </c>
      <c r="M12" s="29">
        <f t="shared" si="4"/>
        <v>0</v>
      </c>
      <c r="N12" s="27">
        <v>0</v>
      </c>
      <c r="O12" s="27">
        <f>TCO!L14</f>
        <v>0</v>
      </c>
      <c r="P12" s="29">
        <f t="shared" si="5"/>
        <v>0</v>
      </c>
      <c r="Q12" s="27">
        <f>'Parametre - Agendové IS'!D115</f>
        <v>0</v>
      </c>
      <c r="R12" s="27">
        <f>'Parametre - Agendové IS'!E115</f>
        <v>0</v>
      </c>
      <c r="S12" s="29">
        <f t="shared" si="0"/>
        <v>0</v>
      </c>
      <c r="T12" s="26">
        <f t="shared" si="6"/>
        <v>5689346.2800000003</v>
      </c>
      <c r="U12" s="26">
        <f t="shared" si="7"/>
        <v>2831539.6500000004</v>
      </c>
      <c r="V12" s="29">
        <f t="shared" si="8"/>
        <v>-2857806.63</v>
      </c>
    </row>
    <row r="13" spans="1:23" ht="17.100000000000001" thickBot="1">
      <c r="A13" s="39" t="s">
        <v>119</v>
      </c>
      <c r="B13" s="43">
        <f>TCO!M26+TCO!M27</f>
        <v>307279</v>
      </c>
      <c r="C13" s="43">
        <f>(TCO!M$12*(1+$W$5))+TCO!M$13</f>
        <v>135904.79999999999</v>
      </c>
      <c r="D13" s="151">
        <f t="shared" si="1"/>
        <v>-171374.2</v>
      </c>
      <c r="E13" s="47">
        <f>TCO!M22+TCO!M23</f>
        <v>1800176.08</v>
      </c>
      <c r="F13" s="43">
        <f>(TCO!M$7*(1+$W$5))+TCO!M$8</f>
        <v>440605.25</v>
      </c>
      <c r="G13" s="151">
        <f t="shared" si="2"/>
        <v>-1359570.83</v>
      </c>
      <c r="H13" s="43">
        <f>TCO!M24+TCO!M25</f>
        <v>3581891.2</v>
      </c>
      <c r="I13" s="43">
        <f>(TCO!M$9*(1+$W$5))+TCO!M$10</f>
        <v>2255029.6</v>
      </c>
      <c r="J13" s="151">
        <f t="shared" si="3"/>
        <v>-1326861.6000000001</v>
      </c>
      <c r="K13" s="47">
        <v>0</v>
      </c>
      <c r="L13" s="47">
        <f>TCO!M11</f>
        <v>0</v>
      </c>
      <c r="M13" s="151">
        <f t="shared" si="4"/>
        <v>0</v>
      </c>
      <c r="N13" s="47">
        <v>0</v>
      </c>
      <c r="O13" s="47">
        <f>TCO!M14</f>
        <v>0</v>
      </c>
      <c r="P13" s="151">
        <f t="shared" si="5"/>
        <v>0</v>
      </c>
      <c r="Q13" s="47">
        <f>'Parametre - Agendové IS'!D116</f>
        <v>0</v>
      </c>
      <c r="R13" s="47">
        <f>'Parametre - Agendové IS'!E116</f>
        <v>0</v>
      </c>
      <c r="S13" s="151">
        <f t="shared" si="0"/>
        <v>0</v>
      </c>
      <c r="T13" s="26">
        <f t="shared" si="6"/>
        <v>5689346.2800000003</v>
      </c>
      <c r="U13" s="26">
        <f t="shared" si="7"/>
        <v>2831539.6500000004</v>
      </c>
      <c r="V13" s="151">
        <f t="shared" si="8"/>
        <v>-2857806.63</v>
      </c>
    </row>
    <row r="14" spans="1:23" ht="15.95">
      <c r="A14" s="540" t="s">
        <v>76</v>
      </c>
      <c r="B14" s="531">
        <f>SUM(B4:B13)</f>
        <v>3072790</v>
      </c>
      <c r="C14" s="529">
        <f t="shared" ref="C14:S14" si="9">SUM(C4:C13)</f>
        <v>2472319.1099999994</v>
      </c>
      <c r="D14" s="528">
        <f t="shared" si="9"/>
        <v>-600470.89000000036</v>
      </c>
      <c r="E14" s="531">
        <f t="shared" si="9"/>
        <v>18001760.800000001</v>
      </c>
      <c r="F14" s="529">
        <f t="shared" si="9"/>
        <v>7531099.4100000001</v>
      </c>
      <c r="G14" s="528">
        <f t="shared" si="9"/>
        <v>-10470661.390000001</v>
      </c>
      <c r="H14" s="531">
        <f t="shared" si="9"/>
        <v>35818912</v>
      </c>
      <c r="I14" s="529">
        <f t="shared" si="9"/>
        <v>41524299.20000001</v>
      </c>
      <c r="J14" s="528">
        <f t="shared" si="9"/>
        <v>5705387.200000003</v>
      </c>
      <c r="K14" s="531">
        <f t="shared" ref="K14:P14" si="10">SUM(K4:K13)</f>
        <v>0</v>
      </c>
      <c r="L14" s="529">
        <f t="shared" si="10"/>
        <v>0</v>
      </c>
      <c r="M14" s="528">
        <f t="shared" si="10"/>
        <v>0</v>
      </c>
      <c r="N14" s="531">
        <f t="shared" si="10"/>
        <v>0</v>
      </c>
      <c r="O14" s="529">
        <f t="shared" si="10"/>
        <v>1256910.8736559139</v>
      </c>
      <c r="P14" s="528">
        <f t="shared" si="10"/>
        <v>1256910.8736559139</v>
      </c>
      <c r="Q14" s="531">
        <f t="shared" si="9"/>
        <v>0</v>
      </c>
      <c r="R14" s="529">
        <f t="shared" si="9"/>
        <v>0</v>
      </c>
      <c r="S14" s="528">
        <f t="shared" si="9"/>
        <v>0</v>
      </c>
      <c r="T14" s="541">
        <f>SUM(T4:T13)</f>
        <v>56893462.800000004</v>
      </c>
      <c r="U14" s="542">
        <f>SUM(U4:U13)</f>
        <v>52784628.593655907</v>
      </c>
      <c r="V14" s="543">
        <f>SUM(V4:V13)</f>
        <v>-4108834.2063440876</v>
      </c>
    </row>
    <row r="15" spans="1:23" ht="17.100000000000001" thickBot="1">
      <c r="A15" s="540" t="s">
        <v>183</v>
      </c>
      <c r="B15" s="539"/>
      <c r="C15" s="537"/>
      <c r="D15" s="535">
        <f>D4+NPV(Faktory!$D$5,D5:D13)</f>
        <v>-290862.48159210023</v>
      </c>
      <c r="E15" s="539"/>
      <c r="F15" s="537"/>
      <c r="G15" s="535">
        <f>G4+NPV(Faktory!$D$5,G5:G13)</f>
        <v>-7963500.6531426124</v>
      </c>
      <c r="H15" s="539"/>
      <c r="I15" s="537"/>
      <c r="J15" s="535">
        <f>J4+NPV(Faktory!$D$5,J5:J13)</f>
        <v>7783138.2637021551</v>
      </c>
      <c r="K15" s="539"/>
      <c r="L15" s="537"/>
      <c r="M15" s="535">
        <f>M4+NPV(Faktory!$D$5,M5:M13)</f>
        <v>0</v>
      </c>
      <c r="N15" s="539"/>
      <c r="O15" s="537"/>
      <c r="P15" s="535">
        <f>P4+NPV(Faktory!$D$5,P5:P13)</f>
        <v>1226984.4242831538</v>
      </c>
      <c r="Q15" s="539"/>
      <c r="R15" s="537"/>
      <c r="S15" s="535">
        <f>S4+NPV(Faktory!$D$5,S5:S13)</f>
        <v>0</v>
      </c>
      <c r="T15" s="544"/>
      <c r="U15" s="545"/>
      <c r="V15" s="546">
        <f>V4+NPV(Faktory!$D$5,V5:V13)</f>
        <v>755759.55325059779</v>
      </c>
    </row>
    <row r="16" spans="1:23">
      <c r="A16" s="639"/>
      <c r="B16" s="639"/>
      <c r="C16" s="639"/>
      <c r="D16" s="143"/>
      <c r="E16" s="639"/>
      <c r="F16" s="639"/>
      <c r="G16" s="143"/>
      <c r="H16" s="639"/>
      <c r="I16" s="639"/>
      <c r="J16" s="143"/>
      <c r="K16" s="143"/>
      <c r="L16" s="143"/>
      <c r="M16" s="143"/>
      <c r="N16" s="143"/>
      <c r="O16" s="143"/>
      <c r="P16" s="143"/>
      <c r="Q16" s="639"/>
      <c r="R16" s="639"/>
      <c r="S16" s="143"/>
      <c r="T16" s="152"/>
      <c r="U16" s="152"/>
      <c r="V16" s="152"/>
    </row>
    <row r="17" spans="1:2">
      <c r="A17" s="639"/>
      <c r="B17" s="101" t="s">
        <v>189</v>
      </c>
    </row>
    <row r="22" spans="1:2">
      <c r="B22" s="153"/>
    </row>
  </sheetData>
  <mergeCells count="10">
    <mergeCell ref="Q1:S1"/>
    <mergeCell ref="T1:V1"/>
    <mergeCell ref="B2:D2"/>
    <mergeCell ref="E2:G2"/>
    <mergeCell ref="H2:J2"/>
    <mergeCell ref="Q2:S2"/>
    <mergeCell ref="N1:P1"/>
    <mergeCell ref="N2:P2"/>
    <mergeCell ref="K2:M2"/>
    <mergeCell ref="B1:M1"/>
  </mergeCells>
  <pageMargins left="0.7" right="0.7" top="0.75" bottom="0.75" header="0.3" footer="0.3"/>
  <pageSetup paperSize="9" scale="2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CC"/>
    <outlinePr summaryBelow="0" summaryRight="0"/>
  </sheetPr>
  <dimension ref="A1:M44"/>
  <sheetViews>
    <sheetView view="pageBreakPreview" topLeftCell="A5" zoomScale="110" zoomScaleNormal="85" zoomScaleSheetLayoutView="110" workbookViewId="0" xr3:uid="{44B22561-5205-5C8A-B808-2C70100D228F}">
      <selection activeCell="C31" sqref="C31"/>
    </sheetView>
  </sheetViews>
  <sheetFormatPr defaultColWidth="8.85546875" defaultRowHeight="15" outlineLevelCol="1"/>
  <cols>
    <col min="2" max="2" width="54.140625" customWidth="1"/>
    <col min="3" max="3" width="18.85546875" customWidth="1"/>
    <col min="4" max="13" width="16" customWidth="1" outlineLevel="1"/>
  </cols>
  <sheetData>
    <row r="1" spans="1:13" ht="21">
      <c r="A1" s="98" t="s">
        <v>190</v>
      </c>
      <c r="B1" s="99"/>
      <c r="E1" s="88"/>
      <c r="F1" s="88"/>
      <c r="G1" s="88"/>
      <c r="H1" s="88"/>
      <c r="I1" s="88"/>
      <c r="J1" s="88"/>
      <c r="K1" s="88"/>
      <c r="L1" s="88"/>
      <c r="M1" s="85"/>
    </row>
    <row r="2" spans="1:13" ht="15.95">
      <c r="A2" s="100"/>
      <c r="B2" s="86"/>
      <c r="D2" s="86"/>
      <c r="E2" s="86"/>
      <c r="F2" s="86"/>
      <c r="G2" s="86"/>
      <c r="H2" s="86"/>
      <c r="I2" s="86"/>
      <c r="J2" s="86"/>
      <c r="K2" s="86"/>
      <c r="L2" s="86"/>
      <c r="M2" s="81"/>
    </row>
    <row r="3" spans="1:13" ht="15.95">
      <c r="A3" s="189" t="s">
        <v>191</v>
      </c>
      <c r="B3" s="86"/>
      <c r="D3" s="81"/>
      <c r="E3" s="81"/>
      <c r="F3" s="81"/>
      <c r="G3" s="81"/>
      <c r="H3" s="81"/>
      <c r="I3" s="81"/>
      <c r="J3" s="81"/>
      <c r="K3" s="81"/>
      <c r="L3" s="81"/>
      <c r="M3" s="81"/>
    </row>
    <row r="4" spans="1:13">
      <c r="D4" s="82"/>
      <c r="E4" s="82"/>
      <c r="F4" s="82"/>
      <c r="G4" s="82"/>
      <c r="H4" s="82"/>
      <c r="I4" s="82"/>
      <c r="J4" s="82"/>
      <c r="K4" s="82"/>
      <c r="L4" s="82"/>
      <c r="M4" s="82"/>
    </row>
    <row r="5" spans="1:13" ht="15.95" thickBot="1">
      <c r="B5" s="82"/>
      <c r="C5" s="640"/>
      <c r="D5" s="743" t="s">
        <v>192</v>
      </c>
      <c r="E5" s="743"/>
      <c r="F5" s="743"/>
      <c r="G5" s="743"/>
      <c r="H5" s="743"/>
      <c r="I5" s="743"/>
      <c r="J5" s="743"/>
      <c r="K5" s="743"/>
      <c r="L5" s="743"/>
      <c r="M5" s="743"/>
    </row>
    <row r="6" spans="1:13" ht="15.95">
      <c r="A6" s="158"/>
      <c r="B6" s="184" t="s">
        <v>108</v>
      </c>
      <c r="C6" s="92" t="s">
        <v>76</v>
      </c>
      <c r="D6" s="105" t="s">
        <v>110</v>
      </c>
      <c r="E6" s="106" t="s">
        <v>111</v>
      </c>
      <c r="F6" s="106" t="s">
        <v>112</v>
      </c>
      <c r="G6" s="106" t="s">
        <v>113</v>
      </c>
      <c r="H6" s="106" t="s">
        <v>114</v>
      </c>
      <c r="I6" s="106" t="s">
        <v>115</v>
      </c>
      <c r="J6" s="106" t="s">
        <v>116</v>
      </c>
      <c r="K6" s="106" t="s">
        <v>117</v>
      </c>
      <c r="L6" s="106" t="s">
        <v>118</v>
      </c>
      <c r="M6" s="107" t="s">
        <v>119</v>
      </c>
    </row>
    <row r="7" spans="1:13">
      <c r="A7" s="187"/>
      <c r="B7" s="185" t="s">
        <v>193</v>
      </c>
      <c r="C7" s="93">
        <f t="shared" ref="C7:C14" si="0">SUM(D7:M7)</f>
        <v>378678.75</v>
      </c>
      <c r="D7" s="108">
        <f>'TCO TO BE- SW'!$E5+'TCO TO BE- SW'!$E15</f>
        <v>378678.75</v>
      </c>
      <c r="E7" s="90">
        <f>'TCO TO BE- SW'!$E6+'TCO TO BE- SW'!$E16</f>
        <v>0</v>
      </c>
      <c r="F7" s="90">
        <f>'TCO TO BE- SW'!$E7+'TCO TO BE- SW'!$E17</f>
        <v>0</v>
      </c>
      <c r="G7" s="90">
        <f>'TCO TO BE- SW'!$E8+'TCO TO BE- SW'!$E18</f>
        <v>0</v>
      </c>
      <c r="H7" s="90">
        <f>'TCO TO BE- SW'!$E9+'TCO TO BE- SW'!$E19</f>
        <v>0</v>
      </c>
      <c r="I7" s="90">
        <f>'TCO TO BE- SW'!$E10+'TCO TO BE- SW'!$E20</f>
        <v>0</v>
      </c>
      <c r="J7" s="90">
        <f>'TCO TO BE- SW'!$E11+'TCO TO BE- SW'!$E21</f>
        <v>0</v>
      </c>
      <c r="K7" s="90">
        <f>'TCO TO BE- SW'!$E12+'TCO TO BE- SW'!$E22</f>
        <v>0</v>
      </c>
      <c r="L7" s="90">
        <f>'TCO TO BE- SW'!$E13+'TCO TO BE- SW'!$E23</f>
        <v>0</v>
      </c>
      <c r="M7" s="109">
        <f>'TCO TO BE- SW'!$E14+'TCO TO BE- SW'!$E24</f>
        <v>0</v>
      </c>
    </row>
    <row r="8" spans="1:13">
      <c r="A8" s="187"/>
      <c r="B8" s="185" t="s">
        <v>194</v>
      </c>
      <c r="C8" s="93">
        <f t="shared" si="0"/>
        <v>7152420.6600000001</v>
      </c>
      <c r="D8" s="108">
        <f>'TCO TO BE- SW'!$E58+'TCO TO BE- SW'!$E68</f>
        <v>1813789.33</v>
      </c>
      <c r="E8" s="90">
        <f>'TCO TO BE- SW'!$E59+'TCO TO BE- SW'!$E69</f>
        <v>1813789.33</v>
      </c>
      <c r="F8" s="90">
        <f>'TCO TO BE- SW'!$E60+'TCO TO BE- SW'!$E70</f>
        <v>440605.25</v>
      </c>
      <c r="G8" s="90">
        <f>'TCO TO BE- SW'!$E61+'TCO TO BE- SW'!$E71</f>
        <v>440605.25</v>
      </c>
      <c r="H8" s="90">
        <f>'TCO TO BE- SW'!$E62+'TCO TO BE- SW'!$E72</f>
        <v>440605.25</v>
      </c>
      <c r="I8" s="90">
        <f>'TCO TO BE- SW'!$E63+'TCO TO BE- SW'!$E73</f>
        <v>440605.25</v>
      </c>
      <c r="J8" s="90">
        <f>'TCO TO BE- SW'!$E64+'TCO TO BE- SW'!$E74</f>
        <v>440605.25</v>
      </c>
      <c r="K8" s="90">
        <f>'TCO TO BE- SW'!$E65+'TCO TO BE- SW'!$E75</f>
        <v>440605.25</v>
      </c>
      <c r="L8" s="90">
        <f>'TCO TO BE- SW'!$E66+'TCO TO BE- SW'!$E76</f>
        <v>440605.25</v>
      </c>
      <c r="M8" s="109">
        <f>'TCO TO BE- SW'!$E67+'TCO TO BE- SW'!$E77</f>
        <v>440605.25</v>
      </c>
    </row>
    <row r="9" spans="1:13">
      <c r="A9" s="187"/>
      <c r="B9" s="185" t="s">
        <v>195</v>
      </c>
      <c r="C9" s="93">
        <f t="shared" si="0"/>
        <v>16320280</v>
      </c>
      <c r="D9" s="108">
        <f>'TCO TO BE- SW'!$E26+'TCO TO BE- SW'!$E36+'TCO TO BE- SW'!$E46</f>
        <v>8556080</v>
      </c>
      <c r="E9" s="90">
        <f>'TCO TO BE- SW'!$E27+'TCO TO BE- SW'!$E37+'TCO TO BE- SW'!$E47</f>
        <v>7764200</v>
      </c>
      <c r="F9" s="90">
        <f>'TCO TO BE- SW'!$E28+'TCO TO BE- SW'!$E38+'TCO TO BE- SW'!$E48</f>
        <v>0</v>
      </c>
      <c r="G9" s="90">
        <f>'TCO TO BE- SW'!$E29+'TCO TO BE- SW'!$E39+'TCO TO BE- SW'!$E49</f>
        <v>0</v>
      </c>
      <c r="H9" s="90">
        <f>'TCO TO BE- SW'!$E30+'TCO TO BE- SW'!$E40+'TCO TO BE- SW'!$E50</f>
        <v>0</v>
      </c>
      <c r="I9" s="90">
        <f>'TCO TO BE- SW'!$E31+'TCO TO BE- SW'!$E41+'TCO TO BE- SW'!$E51</f>
        <v>0</v>
      </c>
      <c r="J9" s="90">
        <f>'TCO TO BE- SW'!$E32+'TCO TO BE- SW'!$E42+'TCO TO BE- SW'!$E52</f>
        <v>0</v>
      </c>
      <c r="K9" s="90">
        <f>'TCO TO BE- SW'!$E33+'TCO TO BE- SW'!$E43+'TCO TO BE- SW'!$E53</f>
        <v>0</v>
      </c>
      <c r="L9" s="90">
        <f>'TCO TO BE- SW'!$E34+'TCO TO BE- SW'!$E44+'TCO TO BE- SW'!$E54</f>
        <v>0</v>
      </c>
      <c r="M9" s="109">
        <f>'TCO TO BE- SW'!$E35+'TCO TO BE- SW'!$E45+'TCO TO BE- SW'!$E55</f>
        <v>0</v>
      </c>
    </row>
    <row r="10" spans="1:13">
      <c r="A10" s="187"/>
      <c r="B10" s="185" t="s">
        <v>196</v>
      </c>
      <c r="C10" s="93">
        <f t="shared" si="0"/>
        <v>25204019.200000003</v>
      </c>
      <c r="D10" s="108">
        <f>'TCO TO BE- SW'!$E79+'TCO TO BE- SW'!$E89+'TCO TO BE- SW'!$E99+'TCO TO BE- SW'!$E109+'TCO TO BE- SW'!$E119</f>
        <v>3581891.2</v>
      </c>
      <c r="E10" s="90">
        <f>'TCO TO BE- SW'!$E80+'TCO TO BE- SW'!$E90+'TCO TO BE- SW'!$E100+'TCO TO BE- SW'!$E110+'TCO TO BE- SW'!$E120</f>
        <v>3581891.2</v>
      </c>
      <c r="F10" s="90">
        <f>'TCO TO BE- SW'!$E81+'TCO TO BE- SW'!$E91+'TCO TO BE- SW'!$E101+'TCO TO BE- SW'!$E111+'TCO TO BE- SW'!$E121</f>
        <v>2255029.6</v>
      </c>
      <c r="G10" s="90">
        <f>'TCO TO BE- SW'!$E82+'TCO TO BE- SW'!$E92+'TCO TO BE- SW'!$E102+'TCO TO BE- SW'!$E112+'TCO TO BE- SW'!$E122</f>
        <v>2255029.6</v>
      </c>
      <c r="H10" s="90">
        <f>'TCO TO BE- SW'!$E83+'TCO TO BE- SW'!$E93+'TCO TO BE- SW'!$E103+'TCO TO BE- SW'!$E113+'TCO TO BE- SW'!$E123</f>
        <v>2255029.6</v>
      </c>
      <c r="I10" s="90">
        <f>'TCO TO BE- SW'!$E84+'TCO TO BE- SW'!$E94+'TCO TO BE- SW'!$E104+'TCO TO BE- SW'!$E114+'TCO TO BE- SW'!$E124</f>
        <v>2255029.6</v>
      </c>
      <c r="J10" s="90">
        <f>'TCO TO BE- SW'!$E85+'TCO TO BE- SW'!$E95+'TCO TO BE- SW'!$E105+'TCO TO BE- SW'!$E115+'TCO TO BE- SW'!$E125</f>
        <v>2255029.6</v>
      </c>
      <c r="K10" s="90">
        <f>'TCO TO BE- SW'!$E86+'TCO TO BE- SW'!$E96+'TCO TO BE- SW'!$E106+'TCO TO BE- SW'!$E116+'TCO TO BE- SW'!$E126</f>
        <v>2255029.6</v>
      </c>
      <c r="L10" s="90">
        <f>'TCO TO BE- SW'!$E87+'TCO TO BE- SW'!$E97+'TCO TO BE- SW'!$E107+'TCO TO BE- SW'!$E117+'TCO TO BE- SW'!$E127</f>
        <v>2255029.6</v>
      </c>
      <c r="M10" s="109">
        <f>'TCO TO BE- SW'!$E88+'TCO TO BE- SW'!$E98+'TCO TO BE- SW'!$E108+'TCO TO BE- SW'!$E118+'TCO TO BE- SW'!$E128</f>
        <v>2255029.6</v>
      </c>
    </row>
    <row r="11" spans="1:13">
      <c r="A11" s="187"/>
      <c r="B11" s="185" t="s">
        <v>197</v>
      </c>
      <c r="C11" s="93">
        <f t="shared" si="0"/>
        <v>0</v>
      </c>
      <c r="D11" s="108">
        <f>'TCO TO BE- SW'!E151+'TCO TO BE- SW'!E161</f>
        <v>0</v>
      </c>
      <c r="E11" s="90">
        <f>'TCO TO BE- SW'!E152+'TCO TO BE- SW'!E162</f>
        <v>0</v>
      </c>
      <c r="F11" s="90">
        <f>'TCO TO BE- SW'!E153+'TCO TO BE- SW'!E163</f>
        <v>0</v>
      </c>
      <c r="G11" s="90">
        <f>'TCO TO BE- SW'!E154+'TCO TO BE- SW'!E164</f>
        <v>0</v>
      </c>
      <c r="H11" s="90">
        <f>'TCO TO BE- SW'!E155+'TCO TO BE- SW'!E165</f>
        <v>0</v>
      </c>
      <c r="I11" s="90">
        <f>'TCO TO BE- SW'!E156+'TCO TO BE- SW'!E166</f>
        <v>0</v>
      </c>
      <c r="J11" s="90">
        <f>'TCO TO BE- SW'!E157+'TCO TO BE- SW'!E167</f>
        <v>0</v>
      </c>
      <c r="K11" s="90">
        <f>'TCO TO BE- SW'!E158+'TCO TO BE- SW'!E168</f>
        <v>0</v>
      </c>
      <c r="L11" s="90">
        <f>'TCO TO BE- SW'!E159+'TCO TO BE- SW'!E169</f>
        <v>0</v>
      </c>
      <c r="M11" s="109">
        <f>'TCO TO BE- SW'!E160+'TCO TO BE- SW'!E170</f>
        <v>0</v>
      </c>
    </row>
    <row r="12" spans="1:13">
      <c r="A12" s="187"/>
      <c r="B12" s="185" t="s">
        <v>198</v>
      </c>
      <c r="C12" s="93">
        <f t="shared" si="0"/>
        <v>800400</v>
      </c>
      <c r="D12" s="108">
        <f>'TCO TO BE - HW'!$E4+'TCO TO BE - HW'!$E14+'TCO TO BE - HW'!$E24</f>
        <v>800400</v>
      </c>
      <c r="E12" s="90">
        <f>'TCO TO BE - HW'!$E5+'TCO TO BE - HW'!$E15+'TCO TO BE - HW'!$E25</f>
        <v>0</v>
      </c>
      <c r="F12" s="90">
        <f>'TCO TO BE - HW'!$E6+'TCO TO BE - HW'!$E16+'TCO TO BE - HW'!$E26</f>
        <v>0</v>
      </c>
      <c r="G12" s="90">
        <f>'TCO TO BE - HW'!$E7+'TCO TO BE - HW'!$E17+'TCO TO BE - HW'!$E27</f>
        <v>0</v>
      </c>
      <c r="H12" s="90">
        <f>'TCO TO BE - HW'!$E8+'TCO TO BE - HW'!$E18+'TCO TO BE - HW'!$E28</f>
        <v>0</v>
      </c>
      <c r="I12" s="90">
        <f>'TCO TO BE - HW'!$E9+'TCO TO BE - HW'!$E19+'TCO TO BE - HW'!$E29</f>
        <v>0</v>
      </c>
      <c r="J12" s="90">
        <f>'TCO TO BE - HW'!$E10+'TCO TO BE - HW'!$E20+'TCO TO BE - HW'!$E30</f>
        <v>0</v>
      </c>
      <c r="K12" s="90">
        <f>'TCO TO BE - HW'!$E11+'TCO TO BE - HW'!$E21+'TCO TO BE - HW'!$E31</f>
        <v>0</v>
      </c>
      <c r="L12" s="90">
        <f>'TCO TO BE - HW'!$E12+'TCO TO BE - HW'!$E22+'TCO TO BE - HW'!$E32</f>
        <v>0</v>
      </c>
      <c r="M12" s="109">
        <f>'TCO TO BE - HW'!$E13+'TCO TO BE - HW'!$E23+'TCO TO BE - HW'!$E33</f>
        <v>0</v>
      </c>
    </row>
    <row r="13" spans="1:13">
      <c r="A13" s="187"/>
      <c r="B13" s="185" t="s">
        <v>199</v>
      </c>
      <c r="C13" s="93">
        <f t="shared" si="0"/>
        <v>1671919.1100000003</v>
      </c>
      <c r="D13" s="108">
        <f>'TCO TO BE - HW'!$E35+'TCO TO BE - HW'!$E45+'TCO TO BE - HW'!$E55+'TCO TO BE - HW'!$E65+'TCO TO BE - HW'!$E75</f>
        <v>240195.16999999998</v>
      </c>
      <c r="E13" s="90">
        <f>'TCO TO BE - HW'!$E36+'TCO TO BE - HW'!$E46+'TCO TO BE - HW'!$E56+'TCO TO BE - HW'!$E66+'TCO TO BE - HW'!$E76</f>
        <v>240195.16999999998</v>
      </c>
      <c r="F13" s="90">
        <f>'TCO TO BE - HW'!$E37+'TCO TO BE - HW'!$E47+'TCO TO BE - HW'!$E57+'TCO TO BE - HW'!$E67+'TCO TO BE - HW'!$E77</f>
        <v>240195.16999999998</v>
      </c>
      <c r="G13" s="90">
        <f>'TCO TO BE - HW'!$E38+'TCO TO BE - HW'!$E48+'TCO TO BE - HW'!$E58+'TCO TO BE - HW'!$E68+'TCO TO BE - HW'!$E78</f>
        <v>135904.79999999999</v>
      </c>
      <c r="H13" s="90">
        <f>'TCO TO BE - HW'!$E39+'TCO TO BE - HW'!$E49+'TCO TO BE - HW'!$E59+'TCO TO BE - HW'!$E69+'TCO TO BE - HW'!$E79</f>
        <v>135904.79999999999</v>
      </c>
      <c r="I13" s="90">
        <f>'TCO TO BE - HW'!$E40+'TCO TO BE - HW'!$E50+'TCO TO BE - HW'!$E60+'TCO TO BE - HW'!$E70+'TCO TO BE - HW'!$E80</f>
        <v>135904.79999999999</v>
      </c>
      <c r="J13" s="90">
        <f>'TCO TO BE - HW'!$E41+'TCO TO BE - HW'!$E51+'TCO TO BE - HW'!$E61+'TCO TO BE - HW'!$E71+'TCO TO BE - HW'!$E81</f>
        <v>135904.79999999999</v>
      </c>
      <c r="K13" s="90">
        <f>'TCO TO BE - HW'!$E42+'TCO TO BE - HW'!$E52+'TCO TO BE - HW'!$E62+'TCO TO BE - HW'!$E72+'TCO TO BE - HW'!$E82</f>
        <v>135904.79999999999</v>
      </c>
      <c r="L13" s="90">
        <f>'TCO TO BE - HW'!$E43+'TCO TO BE - HW'!$E53+'TCO TO BE - HW'!$E63+'TCO TO BE - HW'!$E73+'TCO TO BE - HW'!$E83</f>
        <v>135904.79999999999</v>
      </c>
      <c r="M13" s="109">
        <f>'TCO TO BE - HW'!$E44+'TCO TO BE - HW'!$E54+'TCO TO BE - HW'!$E64+'TCO TO BE - HW'!$E74+'TCO TO BE - HW'!$E84</f>
        <v>135904.79999999999</v>
      </c>
    </row>
    <row r="14" spans="1:13" ht="15.95" thickBot="1">
      <c r="A14" s="187"/>
      <c r="B14" s="456" t="s">
        <v>85</v>
      </c>
      <c r="C14" s="457">
        <f t="shared" si="0"/>
        <v>1256910.8736559139</v>
      </c>
      <c r="D14" s="461">
        <f>'TCO TO BE- SW'!E130+'TCO TO BE- SW'!E140</f>
        <v>628455.43682795693</v>
      </c>
      <c r="E14" s="462">
        <f>'TCO TO BE- SW'!E131+'TCO TO BE- SW'!E141</f>
        <v>628455.43682795693</v>
      </c>
      <c r="F14" s="462">
        <f>'TCO TO BE- SW'!E132+'TCO TO BE- SW'!E142</f>
        <v>0</v>
      </c>
      <c r="G14" s="462">
        <f>'TCO TO BE- SW'!E133+'TCO TO BE- SW'!E143</f>
        <v>0</v>
      </c>
      <c r="H14" s="462">
        <f>'TCO TO BE- SW'!E134+'TCO TO BE- SW'!E144</f>
        <v>0</v>
      </c>
      <c r="I14" s="462">
        <f>'TCO TO BE- SW'!E135+'TCO TO BE- SW'!E145</f>
        <v>0</v>
      </c>
      <c r="J14" s="462">
        <f>'TCO TO BE- SW'!E136+'TCO TO BE- SW'!E146</f>
        <v>0</v>
      </c>
      <c r="K14" s="462">
        <f>'TCO TO BE- SW'!E137+'TCO TO BE- SW'!E147</f>
        <v>0</v>
      </c>
      <c r="L14" s="462">
        <f>'TCO TO BE- SW'!E138+'TCO TO BE- SW'!E148</f>
        <v>0</v>
      </c>
      <c r="M14" s="463">
        <f>'TCO TO BE- SW'!E139+'TCO TO BE- SW'!E149</f>
        <v>0</v>
      </c>
    </row>
    <row r="15" spans="1:13" ht="15.95" thickBot="1">
      <c r="A15" s="188"/>
      <c r="B15" s="186" t="s">
        <v>200</v>
      </c>
      <c r="C15" s="95">
        <f>SUM(C7:C14)</f>
        <v>52784628.593655914</v>
      </c>
      <c r="D15" s="91">
        <f>SUM(D7:D13)</f>
        <v>15371034.450000001</v>
      </c>
      <c r="E15" s="84">
        <f t="shared" ref="E15:M15" si="1">SUM(E7:E13)</f>
        <v>13400075.700000001</v>
      </c>
      <c r="F15" s="84">
        <f t="shared" si="1"/>
        <v>2935830.02</v>
      </c>
      <c r="G15" s="84">
        <f t="shared" si="1"/>
        <v>2831539.65</v>
      </c>
      <c r="H15" s="84">
        <f t="shared" si="1"/>
        <v>2831539.65</v>
      </c>
      <c r="I15" s="84">
        <f t="shared" si="1"/>
        <v>2831539.65</v>
      </c>
      <c r="J15" s="84">
        <f t="shared" si="1"/>
        <v>2831539.65</v>
      </c>
      <c r="K15" s="84">
        <f t="shared" si="1"/>
        <v>2831539.65</v>
      </c>
      <c r="L15" s="97">
        <f t="shared" si="1"/>
        <v>2831539.65</v>
      </c>
      <c r="M15" s="96">
        <f t="shared" si="1"/>
        <v>2831539.65</v>
      </c>
    </row>
    <row r="16" spans="1:13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</row>
    <row r="17" spans="1:13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</row>
    <row r="18" spans="1:13" ht="32.25" customHeight="1">
      <c r="A18" s="744" t="s">
        <v>201</v>
      </c>
      <c r="B18" s="744"/>
      <c r="C18" s="744"/>
      <c r="D18" s="87"/>
      <c r="E18" s="86"/>
      <c r="F18" s="86"/>
      <c r="G18" s="86"/>
      <c r="H18" s="86"/>
      <c r="I18" s="86"/>
      <c r="J18" s="86"/>
      <c r="K18" s="86"/>
      <c r="L18" s="86"/>
      <c r="M18" s="81"/>
    </row>
    <row r="19" spans="1:13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</row>
    <row r="20" spans="1:13" ht="15.95" thickBot="1">
      <c r="B20" s="82"/>
      <c r="C20" s="640"/>
      <c r="D20" s="743" t="s">
        <v>192</v>
      </c>
      <c r="E20" s="743"/>
      <c r="F20" s="743"/>
      <c r="G20" s="743"/>
      <c r="H20" s="743"/>
      <c r="I20" s="743"/>
      <c r="J20" s="743"/>
      <c r="K20" s="743"/>
      <c r="L20" s="743"/>
      <c r="M20" s="743"/>
    </row>
    <row r="21" spans="1:13" ht="17.100000000000001" customHeight="1">
      <c r="A21" s="158"/>
      <c r="B21" s="183" t="s">
        <v>107</v>
      </c>
      <c r="C21" s="92" t="s">
        <v>76</v>
      </c>
      <c r="D21" s="105" t="s">
        <v>110</v>
      </c>
      <c r="E21" s="106" t="s">
        <v>111</v>
      </c>
      <c r="F21" s="106" t="s">
        <v>112</v>
      </c>
      <c r="G21" s="106" t="s">
        <v>113</v>
      </c>
      <c r="H21" s="106" t="s">
        <v>114</v>
      </c>
      <c r="I21" s="106" t="s">
        <v>115</v>
      </c>
      <c r="J21" s="106" t="s">
        <v>116</v>
      </c>
      <c r="K21" s="106" t="s">
        <v>117</v>
      </c>
      <c r="L21" s="106" t="s">
        <v>118</v>
      </c>
      <c r="M21" s="107" t="s">
        <v>119</v>
      </c>
    </row>
    <row r="22" spans="1:13" ht="15" customHeight="1">
      <c r="A22" s="187"/>
      <c r="B22" s="103" t="s">
        <v>193</v>
      </c>
      <c r="C22" s="93">
        <v>0</v>
      </c>
      <c r="D22" s="108">
        <v>0</v>
      </c>
      <c r="E22" s="90">
        <v>0</v>
      </c>
      <c r="F22" s="90">
        <v>0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109">
        <v>0</v>
      </c>
    </row>
    <row r="23" spans="1:13" ht="17.25" customHeight="1">
      <c r="A23" s="187"/>
      <c r="B23" s="103" t="s">
        <v>194</v>
      </c>
      <c r="C23" s="93">
        <f>SUM(D23:M23)</f>
        <v>18001760.800000001</v>
      </c>
      <c r="D23" s="108">
        <f>'TCO AS IS - SW'!E5+'TCO AS IS - SW'!E15</f>
        <v>1800176.08</v>
      </c>
      <c r="E23" s="90">
        <f>'TCO AS IS - SW'!E6+'TCO AS IS - SW'!E16</f>
        <v>1800176.08</v>
      </c>
      <c r="F23" s="90">
        <f>'TCO AS IS - SW'!E7+'TCO AS IS - SW'!E17</f>
        <v>1800176.08</v>
      </c>
      <c r="G23" s="90">
        <f>'TCO AS IS - SW'!E8+'TCO AS IS - SW'!E18</f>
        <v>1800176.08</v>
      </c>
      <c r="H23" s="90">
        <f>'TCO AS IS - SW'!E9+'TCO AS IS - SW'!E19</f>
        <v>1800176.08</v>
      </c>
      <c r="I23" s="90">
        <f>'TCO AS IS - SW'!E10+'TCO AS IS - SW'!E20</f>
        <v>1800176.08</v>
      </c>
      <c r="J23" s="90">
        <f>'TCO AS IS - SW'!E11+'TCO AS IS - SW'!E21</f>
        <v>1800176.08</v>
      </c>
      <c r="K23" s="90">
        <f>'TCO AS IS - SW'!E12+'TCO AS IS - SW'!E22</f>
        <v>1800176.08</v>
      </c>
      <c r="L23" s="90">
        <f>'TCO AS IS - SW'!E13+'TCO AS IS - SW'!E23</f>
        <v>1800176.08</v>
      </c>
      <c r="M23" s="109">
        <f>'TCO AS IS - SW'!E14+'TCO AS IS - SW'!E24</f>
        <v>1800176.08</v>
      </c>
    </row>
    <row r="24" spans="1:13">
      <c r="A24" s="187"/>
      <c r="B24" s="103" t="s">
        <v>195</v>
      </c>
      <c r="C24" s="93">
        <v>0</v>
      </c>
      <c r="D24" s="108">
        <v>0</v>
      </c>
      <c r="E24" s="90">
        <v>0</v>
      </c>
      <c r="F24" s="90">
        <v>0</v>
      </c>
      <c r="G24" s="90">
        <v>0</v>
      </c>
      <c r="H24" s="90">
        <v>0</v>
      </c>
      <c r="I24" s="90">
        <v>0</v>
      </c>
      <c r="J24" s="90">
        <v>0</v>
      </c>
      <c r="K24" s="90">
        <v>0</v>
      </c>
      <c r="L24" s="90">
        <v>0</v>
      </c>
      <c r="M24" s="109">
        <v>0</v>
      </c>
    </row>
    <row r="25" spans="1:13">
      <c r="A25" s="187"/>
      <c r="B25" s="103" t="s">
        <v>196</v>
      </c>
      <c r="C25" s="93">
        <f>SUM(D25:M25)</f>
        <v>35818912</v>
      </c>
      <c r="D25" s="108">
        <f>'TCO AS IS - SW'!E26+'TCO AS IS - SW'!E36+'TCO AS IS - SW'!E46+'TCO AS IS - SW'!E56+'TCO AS IS - SW'!E66</f>
        <v>3581891.2</v>
      </c>
      <c r="E25" s="90">
        <f>'TCO AS IS - SW'!E27+'TCO AS IS - SW'!E37+'TCO AS IS - SW'!E47+'TCO AS IS - SW'!E57+'TCO AS IS - SW'!E67</f>
        <v>3581891.2</v>
      </c>
      <c r="F25" s="90">
        <f>'TCO AS IS - SW'!E28+'TCO AS IS - SW'!E38+'TCO AS IS - SW'!E48+'TCO AS IS - SW'!E58+'TCO AS IS - SW'!E68</f>
        <v>3581891.2</v>
      </c>
      <c r="G25" s="90">
        <f>'TCO AS IS - SW'!E29+'TCO AS IS - SW'!E39+'TCO AS IS - SW'!E49+'TCO AS IS - SW'!E59+'TCO AS IS - SW'!E69</f>
        <v>3581891.2</v>
      </c>
      <c r="H25" s="90">
        <f>'TCO AS IS - SW'!E30+'TCO AS IS - SW'!E40+'TCO AS IS - SW'!E50+'TCO AS IS - SW'!E60+'TCO AS IS - SW'!E70</f>
        <v>3581891.2</v>
      </c>
      <c r="I25" s="90">
        <f>'TCO AS IS - SW'!E31+'TCO AS IS - SW'!E41+'TCO AS IS - SW'!E51+'TCO AS IS - SW'!E61+'TCO AS IS - SW'!E71</f>
        <v>3581891.2</v>
      </c>
      <c r="J25" s="90">
        <f>'TCO AS IS - SW'!E32+'TCO AS IS - SW'!E42+'TCO AS IS - SW'!E52+'TCO AS IS - SW'!E62+'TCO AS IS - SW'!E72</f>
        <v>3581891.2</v>
      </c>
      <c r="K25" s="90">
        <f>'TCO AS IS - SW'!E33+'TCO AS IS - SW'!E43+'TCO AS IS - SW'!E53+'TCO AS IS - SW'!E63+'TCO AS IS - SW'!E73</f>
        <v>3581891.2</v>
      </c>
      <c r="L25" s="90">
        <f>'TCO AS IS - SW'!E34+'TCO AS IS - SW'!E44+'TCO AS IS - SW'!E54+'TCO AS IS - SW'!E64+'TCO AS IS - SW'!E74</f>
        <v>3581891.2</v>
      </c>
      <c r="M25" s="109">
        <f>'TCO AS IS - SW'!E35+'TCO AS IS - SW'!E45+'TCO AS IS - SW'!E55+'TCO AS IS - SW'!E65+'TCO AS IS - SW'!E75</f>
        <v>3581891.2</v>
      </c>
    </row>
    <row r="26" spans="1:13">
      <c r="A26" s="187"/>
      <c r="B26" s="103" t="s">
        <v>198</v>
      </c>
      <c r="C26" s="93">
        <v>0</v>
      </c>
      <c r="D26" s="108">
        <v>0</v>
      </c>
      <c r="E26" s="90">
        <v>0</v>
      </c>
      <c r="F26" s="90">
        <v>0</v>
      </c>
      <c r="G26" s="90">
        <v>0</v>
      </c>
      <c r="H26" s="90">
        <v>0</v>
      </c>
      <c r="I26" s="90">
        <v>0</v>
      </c>
      <c r="J26" s="90">
        <v>0</v>
      </c>
      <c r="K26" s="90">
        <v>0</v>
      </c>
      <c r="L26" s="90">
        <v>0</v>
      </c>
      <c r="M26" s="109">
        <v>0</v>
      </c>
    </row>
    <row r="27" spans="1:13" ht="15.95" thickBot="1">
      <c r="A27" s="187"/>
      <c r="B27" s="104" t="s">
        <v>199</v>
      </c>
      <c r="C27" s="94">
        <f>SUM(D27:M27)</f>
        <v>3072790</v>
      </c>
      <c r="D27" s="110">
        <f>'TCO AS IS - HW'!E4+'TCO AS IS - HW'!E14+'TCO AS IS - HW'!E24+'TCO AS IS - HW'!E34+'TCO AS IS - HW'!E44</f>
        <v>307279</v>
      </c>
      <c r="E27" s="111">
        <f>'TCO AS IS - HW'!E5+'TCO AS IS - HW'!E15+'TCO AS IS - HW'!E25+'TCO AS IS - HW'!E35+'TCO AS IS - HW'!E45</f>
        <v>307279</v>
      </c>
      <c r="F27" s="111">
        <f>'TCO AS IS - HW'!E6+'TCO AS IS - HW'!E16+'TCO AS IS - HW'!E26+'TCO AS IS - HW'!E36+'TCO AS IS - HW'!E46</f>
        <v>307279</v>
      </c>
      <c r="G27" s="111">
        <f>'TCO AS IS - HW'!E7+'TCO AS IS - HW'!E17+'TCO AS IS - HW'!E27+'TCO AS IS - HW'!E37+'TCO AS IS - HW'!E47</f>
        <v>307279</v>
      </c>
      <c r="H27" s="111">
        <f>'TCO AS IS - HW'!E8+'TCO AS IS - HW'!E18+'TCO AS IS - HW'!E28+'TCO AS IS - HW'!E38+'TCO AS IS - HW'!E48</f>
        <v>307279</v>
      </c>
      <c r="I27" s="111">
        <f>'TCO AS IS - HW'!E9+'TCO AS IS - HW'!E19+'TCO AS IS - HW'!E29+'TCO AS IS - HW'!E39+'TCO AS IS - HW'!E49</f>
        <v>307279</v>
      </c>
      <c r="J27" s="111">
        <f>'TCO AS IS - HW'!E10+'TCO AS IS - HW'!E20+'TCO AS IS - HW'!E30+'TCO AS IS - HW'!E40+'TCO AS IS - HW'!E50</f>
        <v>307279</v>
      </c>
      <c r="K27" s="111">
        <f>'TCO AS IS - HW'!E11+'TCO AS IS - HW'!E21+'TCO AS IS - HW'!E31+'TCO AS IS - HW'!E41+'TCO AS IS - HW'!E51</f>
        <v>307279</v>
      </c>
      <c r="L27" s="111">
        <f>'TCO AS IS - HW'!E12+'TCO AS IS - HW'!E22+'TCO AS IS - HW'!E32+'TCO AS IS - HW'!E42+'TCO AS IS - HW'!E52</f>
        <v>307279</v>
      </c>
      <c r="M27" s="112">
        <f>'TCO AS IS - HW'!E13+'TCO AS IS - HW'!E23+'TCO AS IS - HW'!E33+'TCO AS IS - HW'!E43+'TCO AS IS - HW'!E53</f>
        <v>307279</v>
      </c>
    </row>
    <row r="28" spans="1:13" ht="15.95" thickBot="1">
      <c r="A28" s="188"/>
      <c r="B28" s="89" t="s">
        <v>200</v>
      </c>
      <c r="C28" s="95">
        <f t="shared" ref="C28:M28" si="2">SUM(C22:C27)</f>
        <v>56893462.799999997</v>
      </c>
      <c r="D28" s="91">
        <f t="shared" si="2"/>
        <v>5689346.2800000003</v>
      </c>
      <c r="E28" s="84">
        <f t="shared" si="2"/>
        <v>5689346.2800000003</v>
      </c>
      <c r="F28" s="84">
        <f t="shared" si="2"/>
        <v>5689346.2800000003</v>
      </c>
      <c r="G28" s="84">
        <f t="shared" si="2"/>
        <v>5689346.2800000003</v>
      </c>
      <c r="H28" s="84">
        <f t="shared" si="2"/>
        <v>5689346.2800000003</v>
      </c>
      <c r="I28" s="84">
        <f t="shared" si="2"/>
        <v>5689346.2800000003</v>
      </c>
      <c r="J28" s="84">
        <f t="shared" si="2"/>
        <v>5689346.2800000003</v>
      </c>
      <c r="K28" s="84">
        <f t="shared" si="2"/>
        <v>5689346.2800000003</v>
      </c>
      <c r="L28" s="97">
        <f t="shared" si="2"/>
        <v>5689346.2800000003</v>
      </c>
      <c r="M28" s="96">
        <f t="shared" si="2"/>
        <v>5689346.2800000003</v>
      </c>
    </row>
    <row r="29" spans="1:13">
      <c r="A29" s="180"/>
      <c r="B29" s="181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</row>
    <row r="32" spans="1:13" ht="15.75" customHeight="1">
      <c r="A32" s="744" t="s">
        <v>202</v>
      </c>
      <c r="B32" s="744"/>
      <c r="C32" s="744"/>
    </row>
    <row r="34" spans="1:13" ht="15.95" thickBot="1"/>
    <row r="35" spans="1:13" ht="15.95">
      <c r="A35" s="158"/>
      <c r="B35" s="183" t="s">
        <v>155</v>
      </c>
      <c r="C35" s="144" t="s">
        <v>76</v>
      </c>
      <c r="D35" s="145" t="s">
        <v>110</v>
      </c>
      <c r="E35" s="146" t="s">
        <v>111</v>
      </c>
      <c r="F35" s="146" t="s">
        <v>112</v>
      </c>
      <c r="G35" s="146" t="s">
        <v>113</v>
      </c>
      <c r="H35" s="146" t="s">
        <v>114</v>
      </c>
      <c r="I35" s="146" t="s">
        <v>115</v>
      </c>
      <c r="J35" s="146" t="s">
        <v>116</v>
      </c>
      <c r="K35" s="146" t="s">
        <v>117</v>
      </c>
      <c r="L35" s="146" t="s">
        <v>118</v>
      </c>
      <c r="M35" s="147" t="s">
        <v>119</v>
      </c>
    </row>
    <row r="36" spans="1:13">
      <c r="A36" s="187"/>
      <c r="B36" s="148" t="s">
        <v>193</v>
      </c>
      <c r="C36" s="93">
        <f>SUM(D36:M36)</f>
        <v>378678.75</v>
      </c>
      <c r="D36" s="108">
        <f t="shared" ref="D36:M36" si="3">D7-D22</f>
        <v>378678.75</v>
      </c>
      <c r="E36" s="90">
        <f t="shared" si="3"/>
        <v>0</v>
      </c>
      <c r="F36" s="90">
        <f t="shared" si="3"/>
        <v>0</v>
      </c>
      <c r="G36" s="90">
        <f t="shared" si="3"/>
        <v>0</v>
      </c>
      <c r="H36" s="90">
        <f t="shared" si="3"/>
        <v>0</v>
      </c>
      <c r="I36" s="90">
        <f t="shared" si="3"/>
        <v>0</v>
      </c>
      <c r="J36" s="90">
        <f t="shared" si="3"/>
        <v>0</v>
      </c>
      <c r="K36" s="90">
        <f t="shared" si="3"/>
        <v>0</v>
      </c>
      <c r="L36" s="90">
        <f t="shared" si="3"/>
        <v>0</v>
      </c>
      <c r="M36" s="149">
        <f t="shared" si="3"/>
        <v>0</v>
      </c>
    </row>
    <row r="37" spans="1:13">
      <c r="A37" s="187"/>
      <c r="B37" s="103" t="s">
        <v>194</v>
      </c>
      <c r="C37" s="93">
        <f t="shared" ref="C37:C43" si="4">SUM(D37:M37)</f>
        <v>-10849340.140000001</v>
      </c>
      <c r="D37" s="108">
        <f t="shared" ref="D37:M37" si="5">D8-D23</f>
        <v>13613.25</v>
      </c>
      <c r="E37" s="90">
        <f t="shared" si="5"/>
        <v>13613.25</v>
      </c>
      <c r="F37" s="90">
        <f t="shared" si="5"/>
        <v>-1359570.83</v>
      </c>
      <c r="G37" s="90">
        <f t="shared" si="5"/>
        <v>-1359570.83</v>
      </c>
      <c r="H37" s="90">
        <f t="shared" si="5"/>
        <v>-1359570.83</v>
      </c>
      <c r="I37" s="90">
        <f t="shared" si="5"/>
        <v>-1359570.83</v>
      </c>
      <c r="J37" s="90">
        <f t="shared" si="5"/>
        <v>-1359570.83</v>
      </c>
      <c r="K37" s="90">
        <f t="shared" si="5"/>
        <v>-1359570.83</v>
      </c>
      <c r="L37" s="150">
        <f t="shared" si="5"/>
        <v>-1359570.83</v>
      </c>
      <c r="M37" s="109">
        <f t="shared" si="5"/>
        <v>-1359570.83</v>
      </c>
    </row>
    <row r="38" spans="1:13">
      <c r="A38" s="187"/>
      <c r="B38" s="148" t="s">
        <v>195</v>
      </c>
      <c r="C38" s="93">
        <f t="shared" si="4"/>
        <v>16320280</v>
      </c>
      <c r="D38" s="108">
        <f t="shared" ref="D38:M38" si="6">D9-D24</f>
        <v>8556080</v>
      </c>
      <c r="E38" s="90">
        <f t="shared" si="6"/>
        <v>7764200</v>
      </c>
      <c r="F38" s="90">
        <f t="shared" si="6"/>
        <v>0</v>
      </c>
      <c r="G38" s="90">
        <f t="shared" si="6"/>
        <v>0</v>
      </c>
      <c r="H38" s="90">
        <f t="shared" si="6"/>
        <v>0</v>
      </c>
      <c r="I38" s="90">
        <f t="shared" si="6"/>
        <v>0</v>
      </c>
      <c r="J38" s="90">
        <f t="shared" si="6"/>
        <v>0</v>
      </c>
      <c r="K38" s="90">
        <f t="shared" si="6"/>
        <v>0</v>
      </c>
      <c r="L38" s="150">
        <f t="shared" si="6"/>
        <v>0</v>
      </c>
      <c r="M38" s="109">
        <f t="shared" si="6"/>
        <v>0</v>
      </c>
    </row>
    <row r="39" spans="1:13">
      <c r="A39" s="187"/>
      <c r="B39" s="103" t="s">
        <v>196</v>
      </c>
      <c r="C39" s="93">
        <f t="shared" si="4"/>
        <v>-10614892.799999999</v>
      </c>
      <c r="D39" s="108">
        <f t="shared" ref="D39:M39" si="7">D10-D25</f>
        <v>0</v>
      </c>
      <c r="E39" s="90">
        <f t="shared" si="7"/>
        <v>0</v>
      </c>
      <c r="F39" s="90">
        <f t="shared" si="7"/>
        <v>-1326861.6000000001</v>
      </c>
      <c r="G39" s="90">
        <f t="shared" si="7"/>
        <v>-1326861.6000000001</v>
      </c>
      <c r="H39" s="90">
        <f t="shared" si="7"/>
        <v>-1326861.6000000001</v>
      </c>
      <c r="I39" s="90">
        <f t="shared" si="7"/>
        <v>-1326861.6000000001</v>
      </c>
      <c r="J39" s="90">
        <f t="shared" si="7"/>
        <v>-1326861.6000000001</v>
      </c>
      <c r="K39" s="90">
        <f t="shared" si="7"/>
        <v>-1326861.6000000001</v>
      </c>
      <c r="L39" s="150">
        <f t="shared" si="7"/>
        <v>-1326861.6000000001</v>
      </c>
      <c r="M39" s="109">
        <f t="shared" si="7"/>
        <v>-1326861.6000000001</v>
      </c>
    </row>
    <row r="40" spans="1:13">
      <c r="A40" s="187"/>
      <c r="B40" s="103" t="s">
        <v>197</v>
      </c>
      <c r="C40" s="93">
        <f t="shared" si="4"/>
        <v>0</v>
      </c>
      <c r="D40" s="108">
        <f t="shared" ref="D40:M40" si="8">D11</f>
        <v>0</v>
      </c>
      <c r="E40" s="90">
        <f t="shared" si="8"/>
        <v>0</v>
      </c>
      <c r="F40" s="90">
        <f t="shared" si="8"/>
        <v>0</v>
      </c>
      <c r="G40" s="90">
        <f t="shared" si="8"/>
        <v>0</v>
      </c>
      <c r="H40" s="90">
        <f t="shared" si="8"/>
        <v>0</v>
      </c>
      <c r="I40" s="90">
        <f t="shared" si="8"/>
        <v>0</v>
      </c>
      <c r="J40" s="90">
        <f t="shared" si="8"/>
        <v>0</v>
      </c>
      <c r="K40" s="90">
        <f t="shared" si="8"/>
        <v>0</v>
      </c>
      <c r="L40" s="150">
        <f t="shared" si="8"/>
        <v>0</v>
      </c>
      <c r="M40" s="109">
        <f t="shared" si="8"/>
        <v>0</v>
      </c>
    </row>
    <row r="41" spans="1:13">
      <c r="A41" s="187"/>
      <c r="B41" s="103" t="s">
        <v>203</v>
      </c>
      <c r="C41" s="93">
        <f t="shared" si="4"/>
        <v>800400</v>
      </c>
      <c r="D41" s="108">
        <f t="shared" ref="D41:M41" si="9">D12-D26</f>
        <v>800400</v>
      </c>
      <c r="E41" s="90">
        <f t="shared" si="9"/>
        <v>0</v>
      </c>
      <c r="F41" s="90">
        <f t="shared" si="9"/>
        <v>0</v>
      </c>
      <c r="G41" s="90">
        <f t="shared" si="9"/>
        <v>0</v>
      </c>
      <c r="H41" s="90">
        <f t="shared" si="9"/>
        <v>0</v>
      </c>
      <c r="I41" s="90">
        <f t="shared" si="9"/>
        <v>0</v>
      </c>
      <c r="J41" s="90">
        <f t="shared" si="9"/>
        <v>0</v>
      </c>
      <c r="K41" s="90">
        <f t="shared" si="9"/>
        <v>0</v>
      </c>
      <c r="L41" s="150">
        <f t="shared" si="9"/>
        <v>0</v>
      </c>
      <c r="M41" s="109">
        <f t="shared" si="9"/>
        <v>0</v>
      </c>
    </row>
    <row r="42" spans="1:13">
      <c r="A42" s="187"/>
      <c r="B42" s="104" t="s">
        <v>204</v>
      </c>
      <c r="C42" s="94">
        <f t="shared" si="4"/>
        <v>-1400870.89</v>
      </c>
      <c r="D42" s="108">
        <f t="shared" ref="D42:M42" si="10">D13-D27</f>
        <v>-67083.830000000016</v>
      </c>
      <c r="E42" s="90">
        <f t="shared" si="10"/>
        <v>-67083.830000000016</v>
      </c>
      <c r="F42" s="90">
        <f t="shared" si="10"/>
        <v>-67083.830000000016</v>
      </c>
      <c r="G42" s="90">
        <f t="shared" si="10"/>
        <v>-171374.2</v>
      </c>
      <c r="H42" s="90">
        <f t="shared" si="10"/>
        <v>-171374.2</v>
      </c>
      <c r="I42" s="90">
        <f t="shared" si="10"/>
        <v>-171374.2</v>
      </c>
      <c r="J42" s="90">
        <f t="shared" si="10"/>
        <v>-171374.2</v>
      </c>
      <c r="K42" s="90">
        <f t="shared" si="10"/>
        <v>-171374.2</v>
      </c>
      <c r="L42" s="150">
        <f t="shared" si="10"/>
        <v>-171374.2</v>
      </c>
      <c r="M42" s="109">
        <f t="shared" si="10"/>
        <v>-171374.2</v>
      </c>
    </row>
    <row r="43" spans="1:13" ht="15.95" thickBot="1">
      <c r="A43" s="187"/>
      <c r="B43" s="103" t="s">
        <v>85</v>
      </c>
      <c r="C43" s="93">
        <f t="shared" si="4"/>
        <v>1256910.8736559139</v>
      </c>
      <c r="D43" s="108">
        <f t="shared" ref="D43:M43" si="11">D14</f>
        <v>628455.43682795693</v>
      </c>
      <c r="E43" s="90">
        <f t="shared" si="11"/>
        <v>628455.43682795693</v>
      </c>
      <c r="F43" s="90">
        <f t="shared" si="11"/>
        <v>0</v>
      </c>
      <c r="G43" s="90">
        <f t="shared" si="11"/>
        <v>0</v>
      </c>
      <c r="H43" s="90">
        <f t="shared" si="11"/>
        <v>0</v>
      </c>
      <c r="I43" s="90">
        <f t="shared" si="11"/>
        <v>0</v>
      </c>
      <c r="J43" s="90">
        <f t="shared" si="11"/>
        <v>0</v>
      </c>
      <c r="K43" s="90">
        <f t="shared" si="11"/>
        <v>0</v>
      </c>
      <c r="L43" s="150">
        <f t="shared" si="11"/>
        <v>0</v>
      </c>
      <c r="M43" s="109">
        <f t="shared" si="11"/>
        <v>0</v>
      </c>
    </row>
    <row r="44" spans="1:13" ht="15.95" thickBot="1">
      <c r="A44" s="188"/>
      <c r="B44" s="89" t="s">
        <v>200</v>
      </c>
      <c r="C44" s="95">
        <f>SUM(D44:M44)</f>
        <v>-4737289.6431720462</v>
      </c>
      <c r="D44" s="91">
        <f>SUM(D36:D43)</f>
        <v>10310143.606827958</v>
      </c>
      <c r="E44" s="84">
        <f t="shared" ref="E44:M44" si="12">SUM(E36:E42)</f>
        <v>7710729.4199999999</v>
      </c>
      <c r="F44" s="84">
        <f t="shared" si="12"/>
        <v>-2753516.2600000002</v>
      </c>
      <c r="G44" s="84">
        <f t="shared" si="12"/>
        <v>-2857806.6300000004</v>
      </c>
      <c r="H44" s="84">
        <f t="shared" si="12"/>
        <v>-2857806.6300000004</v>
      </c>
      <c r="I44" s="84">
        <f t="shared" si="12"/>
        <v>-2857806.6300000004</v>
      </c>
      <c r="J44" s="84">
        <f t="shared" si="12"/>
        <v>-2857806.6300000004</v>
      </c>
      <c r="K44" s="84">
        <f t="shared" si="12"/>
        <v>-2857806.6300000004</v>
      </c>
      <c r="L44" s="97">
        <f t="shared" si="12"/>
        <v>-2857806.6300000004</v>
      </c>
      <c r="M44" s="96">
        <f t="shared" si="12"/>
        <v>-2857806.6300000004</v>
      </c>
    </row>
  </sheetData>
  <mergeCells count="4">
    <mergeCell ref="D5:M5"/>
    <mergeCell ref="A18:C18"/>
    <mergeCell ref="D20:M20"/>
    <mergeCell ref="A32:C32"/>
  </mergeCells>
  <pageMargins left="0.7" right="0.7" top="0.75" bottom="0.75" header="0.3" footer="0.3"/>
  <pageSetup paperSize="9" scale="3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Krok Martin</dc:creator>
  <cp:keywords/>
  <dc:description/>
  <cp:lastModifiedBy>Zuzana Mikitová</cp:lastModifiedBy>
  <cp:revision/>
  <dcterms:created xsi:type="dcterms:W3CDTF">2015-01-29T13:50:20Z</dcterms:created>
  <dcterms:modified xsi:type="dcterms:W3CDTF">2019-03-15T10:53:03Z</dcterms:modified>
  <cp:category/>
  <cp:contentStatus/>
</cp:coreProperties>
</file>