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09"/>
  <workbookPr/>
  <mc:AlternateContent xmlns:mc="http://schemas.openxmlformats.org/markup-compatibility/2006">
    <mc:Choice Requires="x15">
      <x15ac:absPath xmlns:x15ac="http://schemas.microsoft.com/office/spreadsheetml/2010/11/ac" url="/Users/tomasb/Work/Rozvoj/MSVVaS/eSluzby/CBA/"/>
    </mc:Choice>
  </mc:AlternateContent>
  <xr:revisionPtr revIDLastSave="0" documentId="13_ncr:1_{5F9AE851-119E-7244-9128-8FEE8ECF45A8}" xr6:coauthVersionLast="43" xr6:coauthVersionMax="43" xr10:uidLastSave="{00000000-0000-0000-0000-000000000000}"/>
  <bookViews>
    <workbookView xWindow="0" yWindow="460" windowWidth="14400" windowHeight="16540" tabRatio="838" firstSheet="11" activeTab="13" xr2:uid="{00000000-000D-0000-FFFF-FFFF00000000}"/>
  </bookViews>
  <sheets>
    <sheet name="Úvod" sheetId="5" r:id="rId1"/>
    <sheet name="Zoznam hárkov" sheetId="25" r:id="rId2"/>
    <sheet name="Sumarizácia" sheetId="20" r:id="rId3"/>
    <sheet name="CBA - Agendové IS" sheetId="2" r:id="rId4"/>
    <sheet name="Analyza citlivosti - AgendovéIS" sheetId="7" r:id="rId5"/>
    <sheet name="Prínosy - Agendové IS" sheetId="4" r:id="rId6"/>
    <sheet name="Výdavky - Agendové IS" sheetId="6" r:id="rId7"/>
    <sheet name="Parametre - Agendové IS" sheetId="3" r:id="rId8"/>
    <sheet name="TCO" sheetId="11" r:id="rId9"/>
    <sheet name="TCO AS IS - SW" sheetId="17" r:id="rId10"/>
    <sheet name="TCO AS IS - HW" sheetId="18" r:id="rId11"/>
    <sheet name="TCO TO BE- SW" sheetId="9" r:id="rId12"/>
    <sheet name="TCO TO BE - HW" sheetId="10" r:id="rId13"/>
    <sheet name="Rozpočet - vývoj Aplikácií" sheetId="19" r:id="rId14"/>
    <sheet name="Rozpočet - HW a licencie" sheetId="27" r:id="rId15"/>
    <sheet name="BPM" sheetId="29" r:id="rId16"/>
    <sheet name="MDM 1lic-1rok" sheetId="30" r:id="rId17"/>
    <sheet name="Slepý rozpočet" sheetId="26" r:id="rId18"/>
    <sheet name="Faktory" sheetId="1" r:id="rId19"/>
    <sheet name="Procesné mapy" sheetId="22" r:id="rId20"/>
    <sheet name="Procesy - AS IS" sheetId="23" r:id="rId21"/>
    <sheet name="Procesy - TO BE" sheetId="24" r:id="rId22"/>
    <sheet name="Rozdelenie prínosov" sheetId="14" r:id="rId23"/>
    <sheet name="Sadzby" sheetId="28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7" i="9" l="1"/>
  <c r="I88" i="9"/>
  <c r="I87" i="9"/>
  <c r="I86" i="9"/>
  <c r="I85" i="9"/>
  <c r="I84" i="9"/>
  <c r="I83" i="9"/>
  <c r="I82" i="9"/>
  <c r="I81" i="9"/>
  <c r="G88" i="9"/>
  <c r="G87" i="9"/>
  <c r="G86" i="9"/>
  <c r="G85" i="9"/>
  <c r="G84" i="9"/>
  <c r="G83" i="9"/>
  <c r="G82" i="9"/>
  <c r="G81" i="9"/>
  <c r="I80" i="9"/>
  <c r="I79" i="9"/>
  <c r="I6" i="9" l="1"/>
  <c r="I5" i="9"/>
  <c r="AH18" i="19"/>
  <c r="H6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49" i="9"/>
  <c r="E148" i="9"/>
  <c r="E147" i="9"/>
  <c r="E146" i="9"/>
  <c r="E145" i="9"/>
  <c r="E144" i="9"/>
  <c r="E143" i="9"/>
  <c r="E142" i="9"/>
  <c r="E140" i="9"/>
  <c r="E139" i="9"/>
  <c r="E138" i="9"/>
  <c r="E137" i="9"/>
  <c r="E136" i="9"/>
  <c r="E135" i="9"/>
  <c r="E134" i="9"/>
  <c r="E133" i="9"/>
  <c r="E132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0" i="9"/>
  <c r="E99" i="9"/>
  <c r="E98" i="9"/>
  <c r="E97" i="9"/>
  <c r="E96" i="9"/>
  <c r="E95" i="9"/>
  <c r="E94" i="9"/>
  <c r="E93" i="9"/>
  <c r="E92" i="9"/>
  <c r="E91" i="9"/>
  <c r="E90" i="9"/>
  <c r="E89" i="9"/>
  <c r="E77" i="9"/>
  <c r="E76" i="9"/>
  <c r="E75" i="9"/>
  <c r="E74" i="9"/>
  <c r="E73" i="9"/>
  <c r="E72" i="9"/>
  <c r="E71" i="9"/>
  <c r="E70" i="9"/>
  <c r="E69" i="9"/>
  <c r="E68" i="9"/>
  <c r="E80" i="9"/>
  <c r="E79" i="9"/>
  <c r="E67" i="9"/>
  <c r="E66" i="9"/>
  <c r="E65" i="9"/>
  <c r="E64" i="9"/>
  <c r="E63" i="9"/>
  <c r="E62" i="9"/>
  <c r="E61" i="9"/>
  <c r="E60" i="9"/>
  <c r="E59" i="9"/>
  <c r="E58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F27" i="9"/>
  <c r="F150" i="9"/>
  <c r="F140" i="9"/>
  <c r="F57" i="9"/>
  <c r="F4" i="9"/>
  <c r="J27" i="9"/>
  <c r="I27" i="9"/>
  <c r="J26" i="9"/>
  <c r="I26" i="9"/>
  <c r="H26" i="9"/>
  <c r="G27" i="9"/>
  <c r="AO39" i="26" l="1"/>
  <c r="AN39" i="26"/>
  <c r="AM39" i="26"/>
  <c r="AD39" i="26"/>
  <c r="AP38" i="26"/>
  <c r="AH38" i="26"/>
  <c r="AI38" i="26" s="1"/>
  <c r="AG38" i="26"/>
  <c r="AP37" i="26"/>
  <c r="AI37" i="26"/>
  <c r="AH37" i="26"/>
  <c r="AG37" i="26"/>
  <c r="AP36" i="26"/>
  <c r="AC36" i="26"/>
  <c r="AC39" i="26" s="1"/>
  <c r="AP35" i="26"/>
  <c r="AI35" i="26"/>
  <c r="AH35" i="26"/>
  <c r="AG35" i="26"/>
  <c r="AP34" i="26"/>
  <c r="AP39" i="26" s="1"/>
  <c r="AH34" i="26"/>
  <c r="AI34" i="26" s="1"/>
  <c r="AG34" i="26"/>
  <c r="AG36" i="26" l="1"/>
  <c r="AG39" i="26" s="1"/>
  <c r="AJ39" i="26" s="1"/>
  <c r="AH36" i="26"/>
  <c r="AI36" i="26" l="1"/>
  <c r="AI39" i="26" s="1"/>
  <c r="AH39" i="26"/>
  <c r="AO26" i="26" l="1"/>
  <c r="AN26" i="26"/>
  <c r="AM26" i="26"/>
  <c r="AD26" i="26"/>
  <c r="AP25" i="26"/>
  <c r="AH25" i="26"/>
  <c r="AI25" i="26" s="1"/>
  <c r="AG25" i="26"/>
  <c r="AP24" i="26"/>
  <c r="AI24" i="26"/>
  <c r="AH24" i="26"/>
  <c r="AG24" i="26"/>
  <c r="AP23" i="26"/>
  <c r="AC23" i="26"/>
  <c r="AC26" i="26" s="1"/>
  <c r="AP22" i="26"/>
  <c r="AH22" i="26"/>
  <c r="AI22" i="26" s="1"/>
  <c r="AG22" i="26"/>
  <c r="AP21" i="26"/>
  <c r="AP26" i="26" s="1"/>
  <c r="AH21" i="26"/>
  <c r="AI21" i="26" s="1"/>
  <c r="AG21" i="26"/>
  <c r="AG23" i="26" l="1"/>
  <c r="AG26" i="26" s="1"/>
  <c r="AJ26" i="26" s="1"/>
  <c r="AH23" i="26"/>
  <c r="AH26" i="26" l="1"/>
  <c r="AI23" i="26"/>
  <c r="AI26" i="26" s="1"/>
  <c r="AO12" i="26" l="1"/>
  <c r="AN12" i="26"/>
  <c r="AM12" i="26"/>
  <c r="AD12" i="26"/>
  <c r="AP11" i="26"/>
  <c r="AH11" i="26"/>
  <c r="AI11" i="26" s="1"/>
  <c r="AG11" i="26"/>
  <c r="AP10" i="26"/>
  <c r="AH10" i="26"/>
  <c r="AI10" i="26" s="1"/>
  <c r="AG10" i="26"/>
  <c r="AP9" i="26"/>
  <c r="AC9" i="26"/>
  <c r="AC12" i="26" s="1"/>
  <c r="AP8" i="26"/>
  <c r="AI8" i="26"/>
  <c r="AH8" i="26"/>
  <c r="AG8" i="26"/>
  <c r="AP7" i="26"/>
  <c r="AP12" i="26" s="1"/>
  <c r="AH7" i="26"/>
  <c r="AI7" i="26" s="1"/>
  <c r="AG7" i="26"/>
  <c r="AG9" i="26" l="1"/>
  <c r="AG12" i="26" s="1"/>
  <c r="AH9" i="26"/>
  <c r="AH12" i="26" l="1"/>
  <c r="AI9" i="26"/>
  <c r="AI12" i="26" s="1"/>
  <c r="J61" i="9" l="1"/>
  <c r="J62" i="9"/>
  <c r="J63" i="9"/>
  <c r="J64" i="9"/>
  <c r="J65" i="9"/>
  <c r="J66" i="9"/>
  <c r="I60" i="9"/>
  <c r="I61" i="9" s="1"/>
  <c r="H4" i="9"/>
  <c r="Q7" i="20" s="1"/>
  <c r="D4" i="27"/>
  <c r="AH10" i="19"/>
  <c r="E4" i="27"/>
  <c r="AH67" i="19"/>
  <c r="AJ10" i="19"/>
  <c r="AJ69" i="19"/>
  <c r="AJ6" i="19"/>
  <c r="AJ7" i="19"/>
  <c r="AJ8" i="19"/>
  <c r="D3" i="27"/>
  <c r="AB8" i="19"/>
  <c r="AH8" i="19"/>
  <c r="AA8" i="19"/>
  <c r="AG8" i="19"/>
  <c r="AB7" i="19"/>
  <c r="AH7" i="19"/>
  <c r="AA7" i="19"/>
  <c r="AG7" i="19"/>
  <c r="AG69" i="19"/>
  <c r="AB6" i="19"/>
  <c r="AA6" i="19"/>
  <c r="AG6" i="19"/>
  <c r="AH6" i="19"/>
  <c r="E7" i="27"/>
  <c r="E6" i="27"/>
  <c r="D6" i="27"/>
  <c r="H67" i="9"/>
  <c r="H66" i="9"/>
  <c r="H65" i="9"/>
  <c r="H64" i="9"/>
  <c r="E11" i="20" s="1"/>
  <c r="H63" i="9"/>
  <c r="H62" i="9"/>
  <c r="H61" i="9"/>
  <c r="H60" i="9"/>
  <c r="H5" i="9"/>
  <c r="E3" i="27"/>
  <c r="D5" i="27"/>
  <c r="E5" i="27"/>
  <c r="H4" i="29"/>
  <c r="H60" i="29"/>
  <c r="F4" i="29"/>
  <c r="B4" i="29"/>
  <c r="H3" i="29"/>
  <c r="AJ6" i="29"/>
  <c r="T15" i="3"/>
  <c r="S15" i="3"/>
  <c r="T14" i="3"/>
  <c r="S14" i="3"/>
  <c r="T13" i="3"/>
  <c r="S13" i="3"/>
  <c r="T12" i="3"/>
  <c r="S12" i="3"/>
  <c r="T11" i="3"/>
  <c r="S11" i="3"/>
  <c r="T10" i="3"/>
  <c r="S10" i="3"/>
  <c r="T9" i="3"/>
  <c r="S9" i="3"/>
  <c r="T8" i="3"/>
  <c r="S8" i="3"/>
  <c r="T7" i="3"/>
  <c r="S7" i="3"/>
  <c r="T6" i="3"/>
  <c r="S6" i="3"/>
  <c r="N15" i="3"/>
  <c r="M15" i="3"/>
  <c r="N14" i="3"/>
  <c r="M14" i="3"/>
  <c r="N13" i="3"/>
  <c r="M13" i="3"/>
  <c r="N12" i="3"/>
  <c r="M12" i="3"/>
  <c r="N11" i="3"/>
  <c r="M11" i="3"/>
  <c r="N10" i="3"/>
  <c r="M10" i="3"/>
  <c r="N9" i="3"/>
  <c r="M9" i="3"/>
  <c r="N8" i="3"/>
  <c r="M8" i="3"/>
  <c r="N7" i="3"/>
  <c r="M7" i="3"/>
  <c r="N6" i="3"/>
  <c r="M6" i="3"/>
  <c r="G45" i="3"/>
  <c r="G44" i="3"/>
  <c r="G43" i="3"/>
  <c r="G42" i="3"/>
  <c r="G41" i="3"/>
  <c r="G40" i="3"/>
  <c r="G39" i="3"/>
  <c r="G38" i="3"/>
  <c r="H37" i="3"/>
  <c r="G37" i="3"/>
  <c r="H36" i="3"/>
  <c r="G36" i="3"/>
  <c r="S45" i="3"/>
  <c r="S44" i="3"/>
  <c r="S43" i="3"/>
  <c r="S42" i="3"/>
  <c r="S41" i="3"/>
  <c r="S40" i="3"/>
  <c r="S39" i="3"/>
  <c r="S38" i="3"/>
  <c r="T37" i="3"/>
  <c r="S37" i="3"/>
  <c r="T36" i="3"/>
  <c r="S36" i="3"/>
  <c r="M45" i="3"/>
  <c r="M44" i="3"/>
  <c r="M43" i="3"/>
  <c r="M42" i="3"/>
  <c r="M41" i="3"/>
  <c r="M40" i="3"/>
  <c r="M39" i="3"/>
  <c r="M38" i="3"/>
  <c r="N37" i="3"/>
  <c r="M37" i="3"/>
  <c r="N36" i="3"/>
  <c r="M36" i="3"/>
  <c r="AB10" i="19"/>
  <c r="AB12" i="19"/>
  <c r="AH12" i="19"/>
  <c r="AB14" i="19"/>
  <c r="AJ14" i="19"/>
  <c r="AB16" i="19"/>
  <c r="AH16" i="19"/>
  <c r="AB21" i="19"/>
  <c r="AH21" i="19"/>
  <c r="AB23" i="19"/>
  <c r="AH23" i="19"/>
  <c r="AB25" i="19"/>
  <c r="AH25" i="19"/>
  <c r="AB27" i="19"/>
  <c r="AJ27" i="19"/>
  <c r="AB30" i="19"/>
  <c r="AH30" i="19"/>
  <c r="AB31" i="19"/>
  <c r="AH31" i="19"/>
  <c r="AB32" i="19"/>
  <c r="AH32" i="19"/>
  <c r="AB33" i="19"/>
  <c r="AH33" i="19"/>
  <c r="AB35" i="19"/>
  <c r="AH35" i="19"/>
  <c r="AB36" i="19"/>
  <c r="AH36" i="19"/>
  <c r="AB37" i="19"/>
  <c r="AJ37" i="19"/>
  <c r="AB38" i="19"/>
  <c r="AH38" i="19"/>
  <c r="AB40" i="19"/>
  <c r="AH40" i="19"/>
  <c r="AB41" i="19"/>
  <c r="AH41" i="19"/>
  <c r="AB42" i="19"/>
  <c r="AH42" i="19"/>
  <c r="AB43" i="19"/>
  <c r="AH43" i="19"/>
  <c r="AB45" i="19"/>
  <c r="AJ45" i="19"/>
  <c r="AB46" i="19"/>
  <c r="AH46" i="19"/>
  <c r="AB47" i="19"/>
  <c r="AJ47" i="19"/>
  <c r="AB48" i="19"/>
  <c r="AH48" i="19"/>
  <c r="AB51" i="19"/>
  <c r="AJ51" i="19"/>
  <c r="AB52" i="19"/>
  <c r="AH52" i="19"/>
  <c r="AB53" i="19"/>
  <c r="AH53" i="19"/>
  <c r="AB55" i="19"/>
  <c r="AJ55" i="19"/>
  <c r="AB56" i="19"/>
  <c r="AJ56" i="19"/>
  <c r="AB57" i="19"/>
  <c r="AH57" i="19"/>
  <c r="AB59" i="19"/>
  <c r="AJ59" i="19"/>
  <c r="AB60" i="19"/>
  <c r="AH60" i="19"/>
  <c r="AB61" i="19"/>
  <c r="AJ61" i="19"/>
  <c r="AB63" i="19"/>
  <c r="AJ63" i="19"/>
  <c r="AB64" i="19"/>
  <c r="AH64" i="19"/>
  <c r="AB65" i="19"/>
  <c r="AJ65" i="19"/>
  <c r="G136" i="3"/>
  <c r="J136" i="3"/>
  <c r="M136" i="3"/>
  <c r="AE136" i="3"/>
  <c r="P136" i="3"/>
  <c r="S136" i="3"/>
  <c r="V136" i="3"/>
  <c r="Y136" i="3"/>
  <c r="AB136" i="3"/>
  <c r="AH136" i="3"/>
  <c r="AK136" i="3"/>
  <c r="AN136" i="3"/>
  <c r="AQ136" i="3"/>
  <c r="AT136" i="3"/>
  <c r="AW136" i="3"/>
  <c r="D136" i="3"/>
  <c r="G135" i="3"/>
  <c r="J135" i="3"/>
  <c r="M135" i="3"/>
  <c r="AE135" i="3"/>
  <c r="P135" i="3"/>
  <c r="S135" i="3"/>
  <c r="V135" i="3"/>
  <c r="Y135" i="3"/>
  <c r="AB135" i="3"/>
  <c r="AH135" i="3"/>
  <c r="AK135" i="3"/>
  <c r="AN135" i="3"/>
  <c r="AQ135" i="3"/>
  <c r="AT135" i="3"/>
  <c r="AW135" i="3"/>
  <c r="D135" i="3"/>
  <c r="G134" i="3"/>
  <c r="J134" i="3"/>
  <c r="M134" i="3"/>
  <c r="AE134" i="3"/>
  <c r="P134" i="3"/>
  <c r="S134" i="3"/>
  <c r="V134" i="3"/>
  <c r="Y134" i="3"/>
  <c r="AB134" i="3"/>
  <c r="AH134" i="3"/>
  <c r="AK134" i="3"/>
  <c r="AN134" i="3"/>
  <c r="AQ134" i="3"/>
  <c r="AT134" i="3"/>
  <c r="AW134" i="3"/>
  <c r="D134" i="3"/>
  <c r="G133" i="3"/>
  <c r="J133" i="3"/>
  <c r="M133" i="3"/>
  <c r="AE133" i="3"/>
  <c r="P133" i="3"/>
  <c r="S133" i="3"/>
  <c r="V133" i="3"/>
  <c r="Y133" i="3"/>
  <c r="AB133" i="3"/>
  <c r="AH133" i="3"/>
  <c r="AK133" i="3"/>
  <c r="AN133" i="3"/>
  <c r="AQ133" i="3"/>
  <c r="AT133" i="3"/>
  <c r="AW133" i="3"/>
  <c r="D133" i="3"/>
  <c r="G132" i="3"/>
  <c r="J132" i="3"/>
  <c r="M132" i="3"/>
  <c r="AE132" i="3"/>
  <c r="P132" i="3"/>
  <c r="S132" i="3"/>
  <c r="V132" i="3"/>
  <c r="Y132" i="3"/>
  <c r="AB132" i="3"/>
  <c r="AH132" i="3"/>
  <c r="AK132" i="3"/>
  <c r="AN132" i="3"/>
  <c r="AQ132" i="3"/>
  <c r="AT132" i="3"/>
  <c r="AW132" i="3"/>
  <c r="D132" i="3"/>
  <c r="G131" i="3"/>
  <c r="J131" i="3"/>
  <c r="M131" i="3"/>
  <c r="AE131" i="3"/>
  <c r="P131" i="3"/>
  <c r="S131" i="3"/>
  <c r="V131" i="3"/>
  <c r="Y131" i="3"/>
  <c r="AB131" i="3"/>
  <c r="AH131" i="3"/>
  <c r="AK131" i="3"/>
  <c r="AN131" i="3"/>
  <c r="AQ131" i="3"/>
  <c r="AT131" i="3"/>
  <c r="AW131" i="3"/>
  <c r="D131" i="3"/>
  <c r="G130" i="3"/>
  <c r="J130" i="3"/>
  <c r="M130" i="3"/>
  <c r="AE130" i="3"/>
  <c r="P130" i="3"/>
  <c r="S130" i="3"/>
  <c r="V130" i="3"/>
  <c r="Y130" i="3"/>
  <c r="AB130" i="3"/>
  <c r="AH130" i="3"/>
  <c r="AK130" i="3"/>
  <c r="AN130" i="3"/>
  <c r="AQ130" i="3"/>
  <c r="AT130" i="3"/>
  <c r="AW130" i="3"/>
  <c r="D130" i="3"/>
  <c r="G129" i="3"/>
  <c r="J129" i="3"/>
  <c r="M129" i="3"/>
  <c r="AE129" i="3"/>
  <c r="P129" i="3"/>
  <c r="S129" i="3"/>
  <c r="V129" i="3"/>
  <c r="Y129" i="3"/>
  <c r="AB129" i="3"/>
  <c r="AH129" i="3"/>
  <c r="AK129" i="3"/>
  <c r="AN129" i="3"/>
  <c r="AQ129" i="3"/>
  <c r="AT129" i="3"/>
  <c r="AW129" i="3"/>
  <c r="D129" i="3"/>
  <c r="G128" i="3"/>
  <c r="J128" i="3"/>
  <c r="M128" i="3"/>
  <c r="AE128" i="3"/>
  <c r="P128" i="3"/>
  <c r="S128" i="3"/>
  <c r="V128" i="3"/>
  <c r="Y128" i="3"/>
  <c r="AB128" i="3"/>
  <c r="AH128" i="3"/>
  <c r="AK128" i="3"/>
  <c r="AN128" i="3"/>
  <c r="AQ128" i="3"/>
  <c r="AT128" i="3"/>
  <c r="AW128" i="3"/>
  <c r="D128" i="3"/>
  <c r="G127" i="3"/>
  <c r="J127" i="3"/>
  <c r="M127" i="3"/>
  <c r="AE127" i="3"/>
  <c r="P127" i="3"/>
  <c r="S127" i="3"/>
  <c r="V127" i="3"/>
  <c r="Y127" i="3"/>
  <c r="AB127" i="3"/>
  <c r="AH127" i="3"/>
  <c r="AK127" i="3"/>
  <c r="AN127" i="3"/>
  <c r="AQ127" i="3"/>
  <c r="AT127" i="3"/>
  <c r="AW127" i="3"/>
  <c r="D127" i="3"/>
  <c r="H15" i="3"/>
  <c r="H126" i="3"/>
  <c r="G15" i="3"/>
  <c r="G126" i="3"/>
  <c r="I126" i="3"/>
  <c r="K15" i="3"/>
  <c r="K126" i="3"/>
  <c r="J15" i="3"/>
  <c r="J126" i="3"/>
  <c r="L126" i="3"/>
  <c r="N126" i="3"/>
  <c r="M126" i="3"/>
  <c r="AF126" i="3"/>
  <c r="AE126" i="3"/>
  <c r="AG126" i="3"/>
  <c r="Q15" i="3"/>
  <c r="Q126" i="3"/>
  <c r="P15" i="3"/>
  <c r="P126" i="3"/>
  <c r="R126" i="3"/>
  <c r="T126" i="3"/>
  <c r="S96" i="3"/>
  <c r="Z15" i="3"/>
  <c r="Z126" i="3"/>
  <c r="Y15" i="3"/>
  <c r="Y126" i="3"/>
  <c r="AA126" i="3"/>
  <c r="W15" i="3"/>
  <c r="W126" i="3"/>
  <c r="V15" i="3"/>
  <c r="V126" i="3"/>
  <c r="X126" i="3"/>
  <c r="AC126" i="3"/>
  <c r="AB126" i="3"/>
  <c r="AD126" i="3"/>
  <c r="AI126" i="3"/>
  <c r="AH126" i="3"/>
  <c r="AJ126" i="3"/>
  <c r="AL126" i="3"/>
  <c r="AK126" i="3"/>
  <c r="AM126" i="3"/>
  <c r="AO126" i="3"/>
  <c r="AN126" i="3"/>
  <c r="AP126" i="3"/>
  <c r="AR126" i="3"/>
  <c r="AQ126" i="3"/>
  <c r="AS126" i="3"/>
  <c r="AU126" i="3"/>
  <c r="AT126" i="3"/>
  <c r="AV126" i="3"/>
  <c r="AX126" i="3"/>
  <c r="AW126" i="3"/>
  <c r="AY126" i="3"/>
  <c r="H14" i="3"/>
  <c r="H125" i="3"/>
  <c r="G14" i="3"/>
  <c r="G125" i="3"/>
  <c r="I125" i="3"/>
  <c r="K14" i="3"/>
  <c r="K125" i="3"/>
  <c r="J14" i="3"/>
  <c r="J125" i="3"/>
  <c r="L125" i="3"/>
  <c r="N125" i="3"/>
  <c r="M125" i="3"/>
  <c r="S125" i="3"/>
  <c r="D125" i="3"/>
  <c r="B12" i="4"/>
  <c r="Q12" i="4"/>
  <c r="AF125" i="3"/>
  <c r="AE125" i="3"/>
  <c r="AG125" i="3"/>
  <c r="Q14" i="3"/>
  <c r="Q125" i="3"/>
  <c r="P14" i="3"/>
  <c r="P125" i="3"/>
  <c r="R125" i="3"/>
  <c r="T125" i="3"/>
  <c r="U125" i="3"/>
  <c r="Z14" i="3"/>
  <c r="Z125" i="3"/>
  <c r="Y14" i="3"/>
  <c r="Y125" i="3"/>
  <c r="AA125" i="3"/>
  <c r="W14" i="3"/>
  <c r="W125" i="3"/>
  <c r="V14" i="3"/>
  <c r="V125" i="3"/>
  <c r="X125" i="3"/>
  <c r="AC125" i="3"/>
  <c r="AB125" i="3"/>
  <c r="AD125" i="3"/>
  <c r="AI125" i="3"/>
  <c r="AH125" i="3"/>
  <c r="AJ125" i="3"/>
  <c r="AL125" i="3"/>
  <c r="AK125" i="3"/>
  <c r="AM125" i="3"/>
  <c r="AO125" i="3"/>
  <c r="AN125" i="3"/>
  <c r="AP125" i="3"/>
  <c r="AR125" i="3"/>
  <c r="AQ125" i="3"/>
  <c r="AS125" i="3"/>
  <c r="AU125" i="3"/>
  <c r="AT125" i="3"/>
  <c r="AV125" i="3"/>
  <c r="AX125" i="3"/>
  <c r="AW125" i="3"/>
  <c r="AY125" i="3"/>
  <c r="H13" i="3"/>
  <c r="H124" i="3"/>
  <c r="G13" i="3"/>
  <c r="G124" i="3"/>
  <c r="I124" i="3"/>
  <c r="K13" i="3"/>
  <c r="K124" i="3"/>
  <c r="J13" i="3"/>
  <c r="J124" i="3"/>
  <c r="L124" i="3"/>
  <c r="N124" i="3"/>
  <c r="AF124" i="3"/>
  <c r="AE124" i="3"/>
  <c r="AG124" i="3"/>
  <c r="Q13" i="3"/>
  <c r="Q124" i="3"/>
  <c r="P13" i="3"/>
  <c r="P124" i="3"/>
  <c r="R124" i="3"/>
  <c r="T124" i="3"/>
  <c r="S124" i="3"/>
  <c r="Z13" i="3"/>
  <c r="Z124" i="3"/>
  <c r="Y13" i="3"/>
  <c r="Y124" i="3"/>
  <c r="AA124" i="3"/>
  <c r="W13" i="3"/>
  <c r="W124" i="3"/>
  <c r="V13" i="3"/>
  <c r="V124" i="3"/>
  <c r="X124" i="3"/>
  <c r="AC124" i="3"/>
  <c r="AB124" i="3"/>
  <c r="AD124" i="3"/>
  <c r="AI124" i="3"/>
  <c r="AH124" i="3"/>
  <c r="AJ124" i="3"/>
  <c r="AL124" i="3"/>
  <c r="AK124" i="3"/>
  <c r="AM124" i="3"/>
  <c r="AO124" i="3"/>
  <c r="AN124" i="3"/>
  <c r="AP124" i="3"/>
  <c r="AR124" i="3"/>
  <c r="AQ124" i="3"/>
  <c r="AS124" i="3"/>
  <c r="AU124" i="3"/>
  <c r="AT124" i="3"/>
  <c r="AV124" i="3"/>
  <c r="AX124" i="3"/>
  <c r="AW124" i="3"/>
  <c r="AY124" i="3"/>
  <c r="H12" i="3"/>
  <c r="H123" i="3"/>
  <c r="G12" i="3"/>
  <c r="G123" i="3"/>
  <c r="I123" i="3"/>
  <c r="K12" i="3"/>
  <c r="K123" i="3"/>
  <c r="J12" i="3"/>
  <c r="J123" i="3"/>
  <c r="L123" i="3"/>
  <c r="N123" i="3"/>
  <c r="M123" i="3"/>
  <c r="AF123" i="3"/>
  <c r="AE123" i="3"/>
  <c r="AG123" i="3"/>
  <c r="Q12" i="3"/>
  <c r="Q123" i="3"/>
  <c r="P12" i="3"/>
  <c r="P123" i="3"/>
  <c r="R123" i="3"/>
  <c r="T93" i="3"/>
  <c r="T123" i="3"/>
  <c r="S123" i="3"/>
  <c r="Z12" i="3"/>
  <c r="Z123" i="3"/>
  <c r="Y12" i="3"/>
  <c r="Y123" i="3"/>
  <c r="AA123" i="3"/>
  <c r="W12" i="3"/>
  <c r="W123" i="3"/>
  <c r="V12" i="3"/>
  <c r="V123" i="3"/>
  <c r="X123" i="3"/>
  <c r="AC123" i="3"/>
  <c r="AB123" i="3"/>
  <c r="AD123" i="3"/>
  <c r="AI123" i="3"/>
  <c r="AH123" i="3"/>
  <c r="AJ123" i="3"/>
  <c r="AL123" i="3"/>
  <c r="AK123" i="3"/>
  <c r="AM123" i="3"/>
  <c r="AO123" i="3"/>
  <c r="AN123" i="3"/>
  <c r="AP123" i="3"/>
  <c r="AR123" i="3"/>
  <c r="AQ123" i="3"/>
  <c r="AS123" i="3"/>
  <c r="AU123" i="3"/>
  <c r="AT123" i="3"/>
  <c r="AV123" i="3"/>
  <c r="AX123" i="3"/>
  <c r="AW123" i="3"/>
  <c r="AY123" i="3"/>
  <c r="H11" i="3"/>
  <c r="H122" i="3"/>
  <c r="G11" i="3"/>
  <c r="G122" i="3"/>
  <c r="I122" i="3"/>
  <c r="K11" i="3"/>
  <c r="K122" i="3"/>
  <c r="J11" i="3"/>
  <c r="J122" i="3"/>
  <c r="L122" i="3"/>
  <c r="N122" i="3"/>
  <c r="M122" i="3"/>
  <c r="AF122" i="3"/>
  <c r="AE122" i="3"/>
  <c r="AG122" i="3"/>
  <c r="Q11" i="3"/>
  <c r="Q122" i="3"/>
  <c r="P11" i="3"/>
  <c r="P122" i="3"/>
  <c r="R122" i="3"/>
  <c r="T122" i="3"/>
  <c r="S122" i="3"/>
  <c r="U122" i="3"/>
  <c r="S82" i="3"/>
  <c r="Z11" i="3"/>
  <c r="Z122" i="3"/>
  <c r="Y11" i="3"/>
  <c r="Y122" i="3"/>
  <c r="AA122" i="3"/>
  <c r="W11" i="3"/>
  <c r="W122" i="3"/>
  <c r="V11" i="3"/>
  <c r="V122" i="3"/>
  <c r="X122" i="3"/>
  <c r="AC122" i="3"/>
  <c r="AB122" i="3"/>
  <c r="AD122" i="3"/>
  <c r="AI122" i="3"/>
  <c r="AH122" i="3"/>
  <c r="AJ122" i="3"/>
  <c r="AL122" i="3"/>
  <c r="AK122" i="3"/>
  <c r="AM122" i="3"/>
  <c r="AO122" i="3"/>
  <c r="AN122" i="3"/>
  <c r="AP122" i="3"/>
  <c r="AR122" i="3"/>
  <c r="AQ122" i="3"/>
  <c r="AS122" i="3"/>
  <c r="AU122" i="3"/>
  <c r="AT122" i="3"/>
  <c r="AV122" i="3"/>
  <c r="AX122" i="3"/>
  <c r="AW122" i="3"/>
  <c r="AY122" i="3"/>
  <c r="H10" i="3"/>
  <c r="H121" i="3"/>
  <c r="G10" i="3"/>
  <c r="G121" i="3"/>
  <c r="I121" i="3"/>
  <c r="K10" i="3"/>
  <c r="K121" i="3"/>
  <c r="J10" i="3"/>
  <c r="J121" i="3"/>
  <c r="L121" i="3"/>
  <c r="N91" i="3"/>
  <c r="M121" i="3"/>
  <c r="AF121" i="3"/>
  <c r="AE121" i="3"/>
  <c r="AG121" i="3"/>
  <c r="Q10" i="3"/>
  <c r="Q121" i="3"/>
  <c r="P10" i="3"/>
  <c r="P121" i="3"/>
  <c r="R121" i="3"/>
  <c r="T121" i="3"/>
  <c r="S121" i="3"/>
  <c r="U121" i="3"/>
  <c r="Z10" i="3"/>
  <c r="Z121" i="3"/>
  <c r="Y10" i="3"/>
  <c r="Y121" i="3"/>
  <c r="AA121" i="3"/>
  <c r="W10" i="3"/>
  <c r="W121" i="3"/>
  <c r="V10" i="3"/>
  <c r="V121" i="3"/>
  <c r="X121" i="3"/>
  <c r="AC121" i="3"/>
  <c r="AB121" i="3"/>
  <c r="AD121" i="3"/>
  <c r="AI121" i="3"/>
  <c r="AH121" i="3"/>
  <c r="AJ121" i="3"/>
  <c r="AL121" i="3"/>
  <c r="AK121" i="3"/>
  <c r="AM121" i="3"/>
  <c r="AO121" i="3"/>
  <c r="AN121" i="3"/>
  <c r="AP121" i="3"/>
  <c r="AR121" i="3"/>
  <c r="AQ121" i="3"/>
  <c r="AS121" i="3"/>
  <c r="AU121" i="3"/>
  <c r="AT121" i="3"/>
  <c r="AV121" i="3"/>
  <c r="AX121" i="3"/>
  <c r="AW121" i="3"/>
  <c r="AY121" i="3"/>
  <c r="H9" i="3"/>
  <c r="H120" i="3"/>
  <c r="G9" i="3"/>
  <c r="G120" i="3"/>
  <c r="I120" i="3"/>
  <c r="K9" i="3"/>
  <c r="K120" i="3"/>
  <c r="J9" i="3"/>
  <c r="J120" i="3"/>
  <c r="L120" i="3"/>
  <c r="N120" i="3"/>
  <c r="T120" i="3"/>
  <c r="E120" i="3"/>
  <c r="C7" i="4"/>
  <c r="R7" i="4"/>
  <c r="D9" i="3"/>
  <c r="AF120" i="3"/>
  <c r="AE120" i="3"/>
  <c r="AG120" i="3"/>
  <c r="Q9" i="3"/>
  <c r="Q120" i="3"/>
  <c r="P9" i="3"/>
  <c r="P120" i="3"/>
  <c r="R120" i="3"/>
  <c r="S120" i="3"/>
  <c r="U120" i="3"/>
  <c r="Z9" i="3"/>
  <c r="Z120" i="3"/>
  <c r="Y9" i="3"/>
  <c r="Y120" i="3"/>
  <c r="AA120" i="3"/>
  <c r="W9" i="3"/>
  <c r="W120" i="3"/>
  <c r="V9" i="3"/>
  <c r="V120" i="3"/>
  <c r="X120" i="3"/>
  <c r="AC120" i="3"/>
  <c r="AB120" i="3"/>
  <c r="AD120" i="3"/>
  <c r="AI120" i="3"/>
  <c r="AH120" i="3"/>
  <c r="AJ120" i="3"/>
  <c r="AL120" i="3"/>
  <c r="AK120" i="3"/>
  <c r="AM120" i="3"/>
  <c r="AO120" i="3"/>
  <c r="AN120" i="3"/>
  <c r="AP120" i="3"/>
  <c r="AR120" i="3"/>
  <c r="AQ120" i="3"/>
  <c r="AS120" i="3"/>
  <c r="AU120" i="3"/>
  <c r="AT120" i="3"/>
  <c r="AV120" i="3"/>
  <c r="AX120" i="3"/>
  <c r="AW120" i="3"/>
  <c r="AY120" i="3"/>
  <c r="H8" i="3"/>
  <c r="H119" i="3"/>
  <c r="G8" i="3"/>
  <c r="G119" i="3"/>
  <c r="I119" i="3"/>
  <c r="K8" i="3"/>
  <c r="K119" i="3"/>
  <c r="J8" i="3"/>
  <c r="J119" i="3"/>
  <c r="L119" i="3"/>
  <c r="N119" i="3"/>
  <c r="M119" i="3"/>
  <c r="S119" i="3"/>
  <c r="D119" i="3"/>
  <c r="B6" i="4"/>
  <c r="Q6" i="4"/>
  <c r="AF119" i="3"/>
  <c r="AE119" i="3"/>
  <c r="AG119" i="3"/>
  <c r="Q8" i="3"/>
  <c r="Q119" i="3"/>
  <c r="P8" i="3"/>
  <c r="P119" i="3"/>
  <c r="R119" i="3"/>
  <c r="T89" i="3"/>
  <c r="T119" i="3"/>
  <c r="U119" i="3"/>
  <c r="Z8" i="3"/>
  <c r="Z119" i="3"/>
  <c r="Y8" i="3"/>
  <c r="Y119" i="3"/>
  <c r="AA119" i="3"/>
  <c r="W8" i="3"/>
  <c r="W119" i="3"/>
  <c r="V8" i="3"/>
  <c r="V119" i="3"/>
  <c r="X119" i="3"/>
  <c r="AC119" i="3"/>
  <c r="AB119" i="3"/>
  <c r="AD119" i="3"/>
  <c r="AI119" i="3"/>
  <c r="AH119" i="3"/>
  <c r="AJ119" i="3"/>
  <c r="AL119" i="3"/>
  <c r="AK119" i="3"/>
  <c r="AM119" i="3"/>
  <c r="AO119" i="3"/>
  <c r="AN119" i="3"/>
  <c r="AP119" i="3"/>
  <c r="AR119" i="3"/>
  <c r="AQ119" i="3"/>
  <c r="AS119" i="3"/>
  <c r="AU119" i="3"/>
  <c r="AT119" i="3"/>
  <c r="AV119" i="3"/>
  <c r="AX119" i="3"/>
  <c r="AW119" i="3"/>
  <c r="AY119" i="3"/>
  <c r="H7" i="3"/>
  <c r="H118" i="3"/>
  <c r="G7" i="3"/>
  <c r="G118" i="3"/>
  <c r="I118" i="3"/>
  <c r="K7" i="3"/>
  <c r="K118" i="3"/>
  <c r="J7" i="3"/>
  <c r="J118" i="3"/>
  <c r="L118" i="3"/>
  <c r="N118" i="3"/>
  <c r="M118" i="3"/>
  <c r="AF118" i="3"/>
  <c r="AE118" i="3"/>
  <c r="AG118" i="3"/>
  <c r="Q7" i="3"/>
  <c r="Q118" i="3"/>
  <c r="P7" i="3"/>
  <c r="P118" i="3"/>
  <c r="R118" i="3"/>
  <c r="T118" i="3"/>
  <c r="S78" i="3"/>
  <c r="Z7" i="3"/>
  <c r="Z118" i="3"/>
  <c r="Y7" i="3"/>
  <c r="Y118" i="3"/>
  <c r="AA118" i="3"/>
  <c r="W7" i="3"/>
  <c r="W118" i="3"/>
  <c r="V7" i="3"/>
  <c r="V118" i="3"/>
  <c r="X118" i="3"/>
  <c r="AC118" i="3"/>
  <c r="AB118" i="3"/>
  <c r="AD118" i="3"/>
  <c r="AI118" i="3"/>
  <c r="AH118" i="3"/>
  <c r="AJ118" i="3"/>
  <c r="AL118" i="3"/>
  <c r="AK118" i="3"/>
  <c r="AM118" i="3"/>
  <c r="AO118" i="3"/>
  <c r="AN118" i="3"/>
  <c r="AP118" i="3"/>
  <c r="AR118" i="3"/>
  <c r="AQ118" i="3"/>
  <c r="AS118" i="3"/>
  <c r="AU118" i="3"/>
  <c r="AT118" i="3"/>
  <c r="AV118" i="3"/>
  <c r="AX118" i="3"/>
  <c r="AW118" i="3"/>
  <c r="AY118" i="3"/>
  <c r="H6" i="3"/>
  <c r="H117" i="3"/>
  <c r="G6" i="3"/>
  <c r="G117" i="3"/>
  <c r="I117" i="3"/>
  <c r="K6" i="3"/>
  <c r="K117" i="3"/>
  <c r="J6" i="3"/>
  <c r="J117" i="3"/>
  <c r="L117" i="3"/>
  <c r="N87" i="3"/>
  <c r="M117" i="3"/>
  <c r="AF117" i="3"/>
  <c r="AE117" i="3"/>
  <c r="AG117" i="3"/>
  <c r="Q6" i="3"/>
  <c r="Q117" i="3"/>
  <c r="P6" i="3"/>
  <c r="P117" i="3"/>
  <c r="R117" i="3"/>
  <c r="T117" i="3"/>
  <c r="S117" i="3"/>
  <c r="Z6" i="3"/>
  <c r="Z117" i="3"/>
  <c r="Y6" i="3"/>
  <c r="Y117" i="3"/>
  <c r="AA117" i="3"/>
  <c r="W6" i="3"/>
  <c r="W117" i="3"/>
  <c r="V6" i="3"/>
  <c r="V117" i="3"/>
  <c r="X117" i="3"/>
  <c r="AC117" i="3"/>
  <c r="AB117" i="3"/>
  <c r="AD117" i="3"/>
  <c r="AI117" i="3"/>
  <c r="AH117" i="3"/>
  <c r="AJ117" i="3"/>
  <c r="AL117" i="3"/>
  <c r="AK117" i="3"/>
  <c r="AM117" i="3"/>
  <c r="AO117" i="3"/>
  <c r="AN117" i="3"/>
  <c r="AP117" i="3"/>
  <c r="AR117" i="3"/>
  <c r="AQ117" i="3"/>
  <c r="AS117" i="3"/>
  <c r="AU117" i="3"/>
  <c r="AT117" i="3"/>
  <c r="AV117" i="3"/>
  <c r="AX117" i="3"/>
  <c r="AW117" i="3"/>
  <c r="AY117" i="3"/>
  <c r="D106" i="3"/>
  <c r="D105" i="3"/>
  <c r="D104" i="3"/>
  <c r="D103" i="3"/>
  <c r="D102" i="3"/>
  <c r="D101" i="3"/>
  <c r="D100" i="3"/>
  <c r="D99" i="3"/>
  <c r="D98" i="3"/>
  <c r="D97" i="3"/>
  <c r="H96" i="3"/>
  <c r="G96" i="3"/>
  <c r="I96" i="3"/>
  <c r="K96" i="3"/>
  <c r="J96" i="3"/>
  <c r="L96" i="3"/>
  <c r="M96" i="3"/>
  <c r="AF96" i="3"/>
  <c r="AE96" i="3"/>
  <c r="AG96" i="3"/>
  <c r="Q96" i="3"/>
  <c r="P96" i="3"/>
  <c r="R96" i="3"/>
  <c r="T96" i="3"/>
  <c r="Z96" i="3"/>
  <c r="Y96" i="3"/>
  <c r="AA96" i="3"/>
  <c r="W96" i="3"/>
  <c r="V96" i="3"/>
  <c r="X96" i="3"/>
  <c r="AC96" i="3"/>
  <c r="AB96" i="3"/>
  <c r="AD96" i="3"/>
  <c r="AI96" i="3"/>
  <c r="AH96" i="3"/>
  <c r="AJ96" i="3"/>
  <c r="AL96" i="3"/>
  <c r="AK96" i="3"/>
  <c r="AM96" i="3"/>
  <c r="AO96" i="3"/>
  <c r="AN96" i="3"/>
  <c r="AP96" i="3"/>
  <c r="AR96" i="3"/>
  <c r="AQ96" i="3"/>
  <c r="AS96" i="3"/>
  <c r="AU96" i="3"/>
  <c r="AT96" i="3"/>
  <c r="AV96" i="3"/>
  <c r="AX96" i="3"/>
  <c r="AW96" i="3"/>
  <c r="AY96" i="3"/>
  <c r="H95" i="3"/>
  <c r="G95" i="3"/>
  <c r="I95" i="3"/>
  <c r="K95" i="3"/>
  <c r="J95" i="3"/>
  <c r="L95" i="3"/>
  <c r="N95" i="3"/>
  <c r="AF95" i="3"/>
  <c r="AE95" i="3"/>
  <c r="AG95" i="3"/>
  <c r="Q95" i="3"/>
  <c r="P95" i="3"/>
  <c r="R95" i="3"/>
  <c r="T95" i="3"/>
  <c r="S95" i="3"/>
  <c r="U95" i="3"/>
  <c r="Z95" i="3"/>
  <c r="Y95" i="3"/>
  <c r="AA95" i="3"/>
  <c r="W95" i="3"/>
  <c r="V95" i="3"/>
  <c r="X95" i="3"/>
  <c r="AC95" i="3"/>
  <c r="AB95" i="3"/>
  <c r="AD95" i="3"/>
  <c r="AI95" i="3"/>
  <c r="AH95" i="3"/>
  <c r="AJ95" i="3"/>
  <c r="AL95" i="3"/>
  <c r="AK95" i="3"/>
  <c r="AM95" i="3"/>
  <c r="AO95" i="3"/>
  <c r="AN95" i="3"/>
  <c r="AP95" i="3"/>
  <c r="AR95" i="3"/>
  <c r="AQ95" i="3"/>
  <c r="AS95" i="3"/>
  <c r="AU95" i="3"/>
  <c r="AT95" i="3"/>
  <c r="AV95" i="3"/>
  <c r="AX95" i="3"/>
  <c r="AW95" i="3"/>
  <c r="AY95" i="3"/>
  <c r="H94" i="3"/>
  <c r="G94" i="3"/>
  <c r="I94" i="3"/>
  <c r="K94" i="3"/>
  <c r="J94" i="3"/>
  <c r="L94" i="3"/>
  <c r="N94" i="3"/>
  <c r="AF94" i="3"/>
  <c r="AE94" i="3"/>
  <c r="AG94" i="3"/>
  <c r="Q94" i="3"/>
  <c r="P94" i="3"/>
  <c r="R94" i="3"/>
  <c r="T94" i="3"/>
  <c r="Z94" i="3"/>
  <c r="Y94" i="3"/>
  <c r="AA94" i="3"/>
  <c r="W94" i="3"/>
  <c r="V94" i="3"/>
  <c r="X94" i="3"/>
  <c r="AC94" i="3"/>
  <c r="AB94" i="3"/>
  <c r="AD94" i="3"/>
  <c r="AI94" i="3"/>
  <c r="AH94" i="3"/>
  <c r="AJ94" i="3"/>
  <c r="AL94" i="3"/>
  <c r="AK94" i="3"/>
  <c r="AM94" i="3"/>
  <c r="AO94" i="3"/>
  <c r="AN94" i="3"/>
  <c r="AP94" i="3"/>
  <c r="AR94" i="3"/>
  <c r="AQ94" i="3"/>
  <c r="AS94" i="3"/>
  <c r="AU94" i="3"/>
  <c r="AT94" i="3"/>
  <c r="AV94" i="3"/>
  <c r="AX94" i="3"/>
  <c r="AW94" i="3"/>
  <c r="AY94" i="3"/>
  <c r="H93" i="3"/>
  <c r="G93" i="3"/>
  <c r="I93" i="3"/>
  <c r="K93" i="3"/>
  <c r="J93" i="3"/>
  <c r="L93" i="3"/>
  <c r="N93" i="3"/>
  <c r="M93" i="3"/>
  <c r="AF93" i="3"/>
  <c r="AE93" i="3"/>
  <c r="AG93" i="3"/>
  <c r="Q93" i="3"/>
  <c r="P93" i="3"/>
  <c r="R93" i="3"/>
  <c r="S93" i="3"/>
  <c r="Z93" i="3"/>
  <c r="Y93" i="3"/>
  <c r="AA93" i="3"/>
  <c r="W93" i="3"/>
  <c r="V93" i="3"/>
  <c r="X93" i="3"/>
  <c r="AC93" i="3"/>
  <c r="AB93" i="3"/>
  <c r="AD93" i="3"/>
  <c r="AI93" i="3"/>
  <c r="AH93" i="3"/>
  <c r="AJ93" i="3"/>
  <c r="AL93" i="3"/>
  <c r="AK93" i="3"/>
  <c r="AM93" i="3"/>
  <c r="AO93" i="3"/>
  <c r="AN93" i="3"/>
  <c r="AP93" i="3"/>
  <c r="AR93" i="3"/>
  <c r="AQ93" i="3"/>
  <c r="AS93" i="3"/>
  <c r="AU93" i="3"/>
  <c r="AT93" i="3"/>
  <c r="AV93" i="3"/>
  <c r="AX93" i="3"/>
  <c r="AW93" i="3"/>
  <c r="AY93" i="3"/>
  <c r="H92" i="3"/>
  <c r="G92" i="3"/>
  <c r="I92" i="3"/>
  <c r="K92" i="3"/>
  <c r="J92" i="3"/>
  <c r="L92" i="3"/>
  <c r="M92" i="3"/>
  <c r="AF92" i="3"/>
  <c r="AE92" i="3"/>
  <c r="AG92" i="3"/>
  <c r="Q92" i="3"/>
  <c r="P92" i="3"/>
  <c r="R92" i="3"/>
  <c r="T92" i="3"/>
  <c r="S92" i="3"/>
  <c r="D92" i="3"/>
  <c r="Z92" i="3"/>
  <c r="Y92" i="3"/>
  <c r="AA92" i="3"/>
  <c r="W92" i="3"/>
  <c r="V92" i="3"/>
  <c r="X92" i="3"/>
  <c r="AC92" i="3"/>
  <c r="AB92" i="3"/>
  <c r="AD92" i="3"/>
  <c r="AI92" i="3"/>
  <c r="AH92" i="3"/>
  <c r="AJ92" i="3"/>
  <c r="AL92" i="3"/>
  <c r="AK92" i="3"/>
  <c r="AM92" i="3"/>
  <c r="AO92" i="3"/>
  <c r="AN92" i="3"/>
  <c r="AP92" i="3"/>
  <c r="AR92" i="3"/>
  <c r="AQ92" i="3"/>
  <c r="AS92" i="3"/>
  <c r="AU92" i="3"/>
  <c r="AT92" i="3"/>
  <c r="AV92" i="3"/>
  <c r="AX92" i="3"/>
  <c r="AW92" i="3"/>
  <c r="AY92" i="3"/>
  <c r="H91" i="3"/>
  <c r="G91" i="3"/>
  <c r="I91" i="3"/>
  <c r="K91" i="3"/>
  <c r="J91" i="3"/>
  <c r="L91" i="3"/>
  <c r="AF91" i="3"/>
  <c r="AE91" i="3"/>
  <c r="AG91" i="3"/>
  <c r="Q91" i="3"/>
  <c r="P91" i="3"/>
  <c r="R91" i="3"/>
  <c r="T91" i="3"/>
  <c r="S91" i="3"/>
  <c r="U91" i="3"/>
  <c r="Z91" i="3"/>
  <c r="Y91" i="3"/>
  <c r="AA91" i="3"/>
  <c r="W91" i="3"/>
  <c r="V91" i="3"/>
  <c r="X91" i="3"/>
  <c r="AC91" i="3"/>
  <c r="AB91" i="3"/>
  <c r="AD91" i="3"/>
  <c r="AI91" i="3"/>
  <c r="AH91" i="3"/>
  <c r="AJ91" i="3"/>
  <c r="AL91" i="3"/>
  <c r="AK91" i="3"/>
  <c r="AM91" i="3"/>
  <c r="AO91" i="3"/>
  <c r="AN91" i="3"/>
  <c r="AP91" i="3"/>
  <c r="AR91" i="3"/>
  <c r="AQ91" i="3"/>
  <c r="AS91" i="3"/>
  <c r="AU91" i="3"/>
  <c r="AT91" i="3"/>
  <c r="AV91" i="3"/>
  <c r="AX91" i="3"/>
  <c r="AW91" i="3"/>
  <c r="AY91" i="3"/>
  <c r="H90" i="3"/>
  <c r="G90" i="3"/>
  <c r="I90" i="3"/>
  <c r="K90" i="3"/>
  <c r="J90" i="3"/>
  <c r="L90" i="3"/>
  <c r="M90" i="3"/>
  <c r="AF90" i="3"/>
  <c r="AE90" i="3"/>
  <c r="AG90" i="3"/>
  <c r="Q90" i="3"/>
  <c r="P90" i="3"/>
  <c r="R90" i="3"/>
  <c r="T90" i="3"/>
  <c r="S90" i="3"/>
  <c r="Z90" i="3"/>
  <c r="Y90" i="3"/>
  <c r="AA90" i="3"/>
  <c r="W90" i="3"/>
  <c r="V90" i="3"/>
  <c r="X90" i="3"/>
  <c r="AC90" i="3"/>
  <c r="AB90" i="3"/>
  <c r="AD90" i="3"/>
  <c r="AI90" i="3"/>
  <c r="AH90" i="3"/>
  <c r="AJ90" i="3"/>
  <c r="AL90" i="3"/>
  <c r="AK90" i="3"/>
  <c r="AM90" i="3"/>
  <c r="AO90" i="3"/>
  <c r="AN90" i="3"/>
  <c r="AP90" i="3"/>
  <c r="AR90" i="3"/>
  <c r="AQ90" i="3"/>
  <c r="AS90" i="3"/>
  <c r="AU90" i="3"/>
  <c r="AT90" i="3"/>
  <c r="AV90" i="3"/>
  <c r="AX90" i="3"/>
  <c r="AW90" i="3"/>
  <c r="AY90" i="3"/>
  <c r="H89" i="3"/>
  <c r="G89" i="3"/>
  <c r="I89" i="3"/>
  <c r="K89" i="3"/>
  <c r="J89" i="3"/>
  <c r="L89" i="3"/>
  <c r="N89" i="3"/>
  <c r="M89" i="3"/>
  <c r="O89" i="3"/>
  <c r="AF89" i="3"/>
  <c r="AE89" i="3"/>
  <c r="AG89" i="3"/>
  <c r="Q89" i="3"/>
  <c r="P89" i="3"/>
  <c r="R89" i="3"/>
  <c r="S89" i="3"/>
  <c r="D89" i="3"/>
  <c r="Z89" i="3"/>
  <c r="Y89" i="3"/>
  <c r="AA89" i="3"/>
  <c r="W89" i="3"/>
  <c r="V89" i="3"/>
  <c r="X89" i="3"/>
  <c r="AC89" i="3"/>
  <c r="AB89" i="3"/>
  <c r="AD89" i="3"/>
  <c r="AI89" i="3"/>
  <c r="AH89" i="3"/>
  <c r="AJ89" i="3"/>
  <c r="AL89" i="3"/>
  <c r="AK89" i="3"/>
  <c r="AM89" i="3"/>
  <c r="AO89" i="3"/>
  <c r="AN89" i="3"/>
  <c r="AP89" i="3"/>
  <c r="AR89" i="3"/>
  <c r="AQ89" i="3"/>
  <c r="AS89" i="3"/>
  <c r="AU89" i="3"/>
  <c r="AT89" i="3"/>
  <c r="AV89" i="3"/>
  <c r="AX89" i="3"/>
  <c r="AW89" i="3"/>
  <c r="AY89" i="3"/>
  <c r="H88" i="3"/>
  <c r="G88" i="3"/>
  <c r="K88" i="3"/>
  <c r="J88" i="3"/>
  <c r="L88" i="3"/>
  <c r="M88" i="3"/>
  <c r="AF88" i="3"/>
  <c r="AE88" i="3"/>
  <c r="AG88" i="3"/>
  <c r="Q88" i="3"/>
  <c r="P88" i="3"/>
  <c r="R88" i="3"/>
  <c r="S88" i="3"/>
  <c r="D88" i="3"/>
  <c r="Z88" i="3"/>
  <c r="Y88" i="3"/>
  <c r="AA88" i="3"/>
  <c r="W88" i="3"/>
  <c r="V88" i="3"/>
  <c r="X88" i="3"/>
  <c r="AC88" i="3"/>
  <c r="AB88" i="3"/>
  <c r="AD88" i="3"/>
  <c r="AI88" i="3"/>
  <c r="AH88" i="3"/>
  <c r="AJ88" i="3"/>
  <c r="AL88" i="3"/>
  <c r="AK88" i="3"/>
  <c r="AM88" i="3"/>
  <c r="AO88" i="3"/>
  <c r="AN88" i="3"/>
  <c r="AP88" i="3"/>
  <c r="AR88" i="3"/>
  <c r="AQ88" i="3"/>
  <c r="AS88" i="3"/>
  <c r="AU88" i="3"/>
  <c r="AT88" i="3"/>
  <c r="AV88" i="3"/>
  <c r="AX88" i="3"/>
  <c r="AW88" i="3"/>
  <c r="AY88" i="3"/>
  <c r="H87" i="3"/>
  <c r="G87" i="3"/>
  <c r="I87" i="3"/>
  <c r="K87" i="3"/>
  <c r="J87" i="3"/>
  <c r="L87" i="3"/>
  <c r="AF87" i="3"/>
  <c r="AE87" i="3"/>
  <c r="AG87" i="3"/>
  <c r="Q87" i="3"/>
  <c r="P87" i="3"/>
  <c r="R87" i="3"/>
  <c r="T87" i="3"/>
  <c r="Z87" i="3"/>
  <c r="Y87" i="3"/>
  <c r="AA87" i="3"/>
  <c r="W87" i="3"/>
  <c r="V87" i="3"/>
  <c r="X87" i="3"/>
  <c r="AC87" i="3"/>
  <c r="AB87" i="3"/>
  <c r="AD87" i="3"/>
  <c r="AI87" i="3"/>
  <c r="AH87" i="3"/>
  <c r="AJ87" i="3"/>
  <c r="AL87" i="3"/>
  <c r="AK87" i="3"/>
  <c r="AM87" i="3"/>
  <c r="AO87" i="3"/>
  <c r="AN87" i="3"/>
  <c r="AP87" i="3"/>
  <c r="AR87" i="3"/>
  <c r="AQ87" i="3"/>
  <c r="AS87" i="3"/>
  <c r="AU87" i="3"/>
  <c r="AT87" i="3"/>
  <c r="AV87" i="3"/>
  <c r="AX87" i="3"/>
  <c r="AW87" i="3"/>
  <c r="AY87" i="3"/>
  <c r="D8" i="1"/>
  <c r="G86" i="3"/>
  <c r="J86" i="3"/>
  <c r="M86" i="3"/>
  <c r="AE86" i="3"/>
  <c r="P86" i="3"/>
  <c r="S86" i="3"/>
  <c r="V86" i="3"/>
  <c r="Y86" i="3"/>
  <c r="AB86" i="3"/>
  <c r="AH86" i="3"/>
  <c r="AK86" i="3"/>
  <c r="AN86" i="3"/>
  <c r="AQ86" i="3"/>
  <c r="AT86" i="3"/>
  <c r="AW86" i="3"/>
  <c r="G85" i="3"/>
  <c r="J85" i="3"/>
  <c r="AE85" i="3"/>
  <c r="P85" i="3"/>
  <c r="S85" i="3"/>
  <c r="V85" i="3"/>
  <c r="Y85" i="3"/>
  <c r="AB85" i="3"/>
  <c r="AH85" i="3"/>
  <c r="AK85" i="3"/>
  <c r="AN85" i="3"/>
  <c r="AQ85" i="3"/>
  <c r="AT85" i="3"/>
  <c r="AW85" i="3"/>
  <c r="G84" i="3"/>
  <c r="J84" i="3"/>
  <c r="M84" i="3"/>
  <c r="AE84" i="3"/>
  <c r="P84" i="3"/>
  <c r="V84" i="3"/>
  <c r="Y84" i="3"/>
  <c r="AB84" i="3"/>
  <c r="AH84" i="3"/>
  <c r="AK84" i="3"/>
  <c r="AN84" i="3"/>
  <c r="AQ84" i="3"/>
  <c r="AT84" i="3"/>
  <c r="AW84" i="3"/>
  <c r="G83" i="3"/>
  <c r="J83" i="3"/>
  <c r="M83" i="3"/>
  <c r="AE83" i="3"/>
  <c r="P83" i="3"/>
  <c r="S83" i="3"/>
  <c r="V83" i="3"/>
  <c r="Y83" i="3"/>
  <c r="AB83" i="3"/>
  <c r="AH83" i="3"/>
  <c r="AK83" i="3"/>
  <c r="AN83" i="3"/>
  <c r="AQ83" i="3"/>
  <c r="AT83" i="3"/>
  <c r="AW83" i="3"/>
  <c r="G82" i="3"/>
  <c r="J82" i="3"/>
  <c r="M82" i="3"/>
  <c r="AE82" i="3"/>
  <c r="P82" i="3"/>
  <c r="V82" i="3"/>
  <c r="Y82" i="3"/>
  <c r="AB82" i="3"/>
  <c r="AH82" i="3"/>
  <c r="AK82" i="3"/>
  <c r="AN82" i="3"/>
  <c r="AQ82" i="3"/>
  <c r="AT82" i="3"/>
  <c r="AW82" i="3"/>
  <c r="G81" i="3"/>
  <c r="J81" i="3"/>
  <c r="AE81" i="3"/>
  <c r="P81" i="3"/>
  <c r="S81" i="3"/>
  <c r="V81" i="3"/>
  <c r="Y81" i="3"/>
  <c r="AB81" i="3"/>
  <c r="AH81" i="3"/>
  <c r="AK81" i="3"/>
  <c r="AN81" i="3"/>
  <c r="AQ81" i="3"/>
  <c r="AT81" i="3"/>
  <c r="AW81" i="3"/>
  <c r="G80" i="3"/>
  <c r="J80" i="3"/>
  <c r="AE80" i="3"/>
  <c r="P80" i="3"/>
  <c r="S80" i="3"/>
  <c r="V80" i="3"/>
  <c r="Y80" i="3"/>
  <c r="AB80" i="3"/>
  <c r="AH80" i="3"/>
  <c r="AK80" i="3"/>
  <c r="AN80" i="3"/>
  <c r="AQ80" i="3"/>
  <c r="AT80" i="3"/>
  <c r="AW80" i="3"/>
  <c r="G79" i="3"/>
  <c r="J79" i="3"/>
  <c r="M79" i="3"/>
  <c r="AE79" i="3"/>
  <c r="P79" i="3"/>
  <c r="S79" i="3"/>
  <c r="V79" i="3"/>
  <c r="Y79" i="3"/>
  <c r="AB79" i="3"/>
  <c r="AH79" i="3"/>
  <c r="AK79" i="3"/>
  <c r="AN79" i="3"/>
  <c r="AQ79" i="3"/>
  <c r="AT79" i="3"/>
  <c r="AW79" i="3"/>
  <c r="G78" i="3"/>
  <c r="J78" i="3"/>
  <c r="M78" i="3"/>
  <c r="AE78" i="3"/>
  <c r="P78" i="3"/>
  <c r="V78" i="3"/>
  <c r="Y78" i="3"/>
  <c r="AB78" i="3"/>
  <c r="AH78" i="3"/>
  <c r="AK78" i="3"/>
  <c r="AN78" i="3"/>
  <c r="AQ78" i="3"/>
  <c r="AT78" i="3"/>
  <c r="AW78" i="3"/>
  <c r="G77" i="3"/>
  <c r="J77" i="3"/>
  <c r="AE77" i="3"/>
  <c r="P77" i="3"/>
  <c r="S77" i="3"/>
  <c r="V77" i="3"/>
  <c r="Y77" i="3"/>
  <c r="AB77" i="3"/>
  <c r="AH77" i="3"/>
  <c r="AK77" i="3"/>
  <c r="AN77" i="3"/>
  <c r="AQ77" i="3"/>
  <c r="AT77" i="3"/>
  <c r="AW77" i="3"/>
  <c r="G76" i="3"/>
  <c r="J76" i="3"/>
  <c r="M76" i="3"/>
  <c r="S76" i="3"/>
  <c r="D76" i="3"/>
  <c r="AE76" i="3"/>
  <c r="P76" i="3"/>
  <c r="V76" i="3"/>
  <c r="Y76" i="3"/>
  <c r="AB76" i="3"/>
  <c r="AH76" i="3"/>
  <c r="AK76" i="3"/>
  <c r="AN76" i="3"/>
  <c r="AQ76" i="3"/>
  <c r="AT76" i="3"/>
  <c r="AW76" i="3"/>
  <c r="G75" i="3"/>
  <c r="J75" i="3"/>
  <c r="AE75" i="3"/>
  <c r="P75" i="3"/>
  <c r="S75" i="3"/>
  <c r="V75" i="3"/>
  <c r="Y75" i="3"/>
  <c r="AB75" i="3"/>
  <c r="AH75" i="3"/>
  <c r="AK75" i="3"/>
  <c r="AN75" i="3"/>
  <c r="AQ75" i="3"/>
  <c r="AT75" i="3"/>
  <c r="AW75" i="3"/>
  <c r="G74" i="3"/>
  <c r="J74" i="3"/>
  <c r="M74" i="3"/>
  <c r="AE74" i="3"/>
  <c r="P74" i="3"/>
  <c r="V74" i="3"/>
  <c r="Y74" i="3"/>
  <c r="AB74" i="3"/>
  <c r="AH74" i="3"/>
  <c r="AK74" i="3"/>
  <c r="AN74" i="3"/>
  <c r="AQ74" i="3"/>
  <c r="AT74" i="3"/>
  <c r="AW74" i="3"/>
  <c r="G73" i="3"/>
  <c r="J73" i="3"/>
  <c r="M73" i="3"/>
  <c r="S73" i="3"/>
  <c r="D73" i="3"/>
  <c r="AE73" i="3"/>
  <c r="P73" i="3"/>
  <c r="V73" i="3"/>
  <c r="Y73" i="3"/>
  <c r="AB73" i="3"/>
  <c r="AH73" i="3"/>
  <c r="AK73" i="3"/>
  <c r="AN73" i="3"/>
  <c r="AQ73" i="3"/>
  <c r="AT73" i="3"/>
  <c r="AW73" i="3"/>
  <c r="G72" i="3"/>
  <c r="J72" i="3"/>
  <c r="M72" i="3"/>
  <c r="S72" i="3"/>
  <c r="D72" i="3"/>
  <c r="AE72" i="3"/>
  <c r="P72" i="3"/>
  <c r="V72" i="3"/>
  <c r="Y72" i="3"/>
  <c r="AB72" i="3"/>
  <c r="AH72" i="3"/>
  <c r="AK72" i="3"/>
  <c r="AN72" i="3"/>
  <c r="AQ72" i="3"/>
  <c r="AT72" i="3"/>
  <c r="AW72" i="3"/>
  <c r="G71" i="3"/>
  <c r="J71" i="3"/>
  <c r="M71" i="3"/>
  <c r="S71" i="3"/>
  <c r="D71" i="3"/>
  <c r="AE71" i="3"/>
  <c r="P71" i="3"/>
  <c r="V71" i="3"/>
  <c r="Y71" i="3"/>
  <c r="AB71" i="3"/>
  <c r="AH71" i="3"/>
  <c r="AK71" i="3"/>
  <c r="AN71" i="3"/>
  <c r="AQ71" i="3"/>
  <c r="AT71" i="3"/>
  <c r="AW71" i="3"/>
  <c r="G70" i="3"/>
  <c r="J70" i="3"/>
  <c r="M70" i="3"/>
  <c r="S70" i="3"/>
  <c r="D70" i="3"/>
  <c r="AE70" i="3"/>
  <c r="P70" i="3"/>
  <c r="V70" i="3"/>
  <c r="Y70" i="3"/>
  <c r="AB70" i="3"/>
  <c r="AH70" i="3"/>
  <c r="AK70" i="3"/>
  <c r="AN70" i="3"/>
  <c r="AQ70" i="3"/>
  <c r="AT70" i="3"/>
  <c r="AW70" i="3"/>
  <c r="G69" i="3"/>
  <c r="J69" i="3"/>
  <c r="M69" i="3"/>
  <c r="AE69" i="3"/>
  <c r="P69" i="3"/>
  <c r="S69" i="3"/>
  <c r="V69" i="3"/>
  <c r="Y69" i="3"/>
  <c r="AB69" i="3"/>
  <c r="AH69" i="3"/>
  <c r="AK69" i="3"/>
  <c r="AN69" i="3"/>
  <c r="AQ69" i="3"/>
  <c r="AT69" i="3"/>
  <c r="AW69" i="3"/>
  <c r="G68" i="3"/>
  <c r="J68" i="3"/>
  <c r="M68" i="3"/>
  <c r="S68" i="3"/>
  <c r="D68" i="3"/>
  <c r="AE68" i="3"/>
  <c r="P68" i="3"/>
  <c r="V68" i="3"/>
  <c r="Y68" i="3"/>
  <c r="AB68" i="3"/>
  <c r="AH68" i="3"/>
  <c r="AK68" i="3"/>
  <c r="AN68" i="3"/>
  <c r="AQ68" i="3"/>
  <c r="AT68" i="3"/>
  <c r="AW68" i="3"/>
  <c r="G67" i="3"/>
  <c r="J67" i="3"/>
  <c r="M67" i="3"/>
  <c r="AE67" i="3"/>
  <c r="P67" i="3"/>
  <c r="V67" i="3"/>
  <c r="Y67" i="3"/>
  <c r="AB67" i="3"/>
  <c r="AH67" i="3"/>
  <c r="AK67" i="3"/>
  <c r="AN67" i="3"/>
  <c r="AQ67" i="3"/>
  <c r="AT67" i="3"/>
  <c r="AW67" i="3"/>
  <c r="F66" i="3"/>
  <c r="E66" i="3"/>
  <c r="D66" i="3"/>
  <c r="I65" i="3"/>
  <c r="L65" i="3"/>
  <c r="O65" i="3"/>
  <c r="AG65" i="3"/>
  <c r="R65" i="3"/>
  <c r="U65" i="3"/>
  <c r="AA65" i="3"/>
  <c r="X65" i="3"/>
  <c r="AD65" i="3"/>
  <c r="AJ65" i="3"/>
  <c r="AM65" i="3"/>
  <c r="AP65" i="3"/>
  <c r="AS65" i="3"/>
  <c r="AV65" i="3"/>
  <c r="AY65" i="3"/>
  <c r="F65" i="3"/>
  <c r="E65" i="3"/>
  <c r="D65" i="3"/>
  <c r="I64" i="3"/>
  <c r="L64" i="3"/>
  <c r="O64" i="3"/>
  <c r="AG64" i="3"/>
  <c r="R64" i="3"/>
  <c r="U64" i="3"/>
  <c r="AA64" i="3"/>
  <c r="X64" i="3"/>
  <c r="AD64" i="3"/>
  <c r="AJ64" i="3"/>
  <c r="AM64" i="3"/>
  <c r="AP64" i="3"/>
  <c r="AS64" i="3"/>
  <c r="AV64" i="3"/>
  <c r="AY64" i="3"/>
  <c r="F64" i="3"/>
  <c r="E64" i="3"/>
  <c r="D64" i="3"/>
  <c r="I63" i="3"/>
  <c r="L63" i="3"/>
  <c r="O63" i="3"/>
  <c r="AG63" i="3"/>
  <c r="R63" i="3"/>
  <c r="U63" i="3"/>
  <c r="AA63" i="3"/>
  <c r="X63" i="3"/>
  <c r="AD63" i="3"/>
  <c r="AJ63" i="3"/>
  <c r="AM63" i="3"/>
  <c r="AP63" i="3"/>
  <c r="AS63" i="3"/>
  <c r="AV63" i="3"/>
  <c r="AY63" i="3"/>
  <c r="F63" i="3"/>
  <c r="E63" i="3"/>
  <c r="D63" i="3"/>
  <c r="I62" i="3"/>
  <c r="L62" i="3"/>
  <c r="O62" i="3"/>
  <c r="AG62" i="3"/>
  <c r="R62" i="3"/>
  <c r="U62" i="3"/>
  <c r="AA62" i="3"/>
  <c r="X62" i="3"/>
  <c r="AD62" i="3"/>
  <c r="AJ62" i="3"/>
  <c r="AM62" i="3"/>
  <c r="AP62" i="3"/>
  <c r="AS62" i="3"/>
  <c r="AV62" i="3"/>
  <c r="AY62" i="3"/>
  <c r="F62" i="3"/>
  <c r="E62" i="3"/>
  <c r="D62" i="3"/>
  <c r="I61" i="3"/>
  <c r="L61" i="3"/>
  <c r="O61" i="3"/>
  <c r="AG61" i="3"/>
  <c r="R61" i="3"/>
  <c r="U61" i="3"/>
  <c r="AA61" i="3"/>
  <c r="X61" i="3"/>
  <c r="AD61" i="3"/>
  <c r="AJ61" i="3"/>
  <c r="AM61" i="3"/>
  <c r="AP61" i="3"/>
  <c r="AS61" i="3"/>
  <c r="AV61" i="3"/>
  <c r="AY61" i="3"/>
  <c r="F61" i="3"/>
  <c r="E61" i="3"/>
  <c r="D61" i="3"/>
  <c r="I60" i="3"/>
  <c r="L60" i="3"/>
  <c r="O60" i="3"/>
  <c r="AG60" i="3"/>
  <c r="R60" i="3"/>
  <c r="U60" i="3"/>
  <c r="AA60" i="3"/>
  <c r="X60" i="3"/>
  <c r="AD60" i="3"/>
  <c r="AJ60" i="3"/>
  <c r="AM60" i="3"/>
  <c r="AP60" i="3"/>
  <c r="AS60" i="3"/>
  <c r="AV60" i="3"/>
  <c r="AY60" i="3"/>
  <c r="F60" i="3"/>
  <c r="E60" i="3"/>
  <c r="D60" i="3"/>
  <c r="I59" i="3"/>
  <c r="L59" i="3"/>
  <c r="O59" i="3"/>
  <c r="AG59" i="3"/>
  <c r="R59" i="3"/>
  <c r="U59" i="3"/>
  <c r="AA59" i="3"/>
  <c r="X59" i="3"/>
  <c r="AD59" i="3"/>
  <c r="AJ59" i="3"/>
  <c r="AM59" i="3"/>
  <c r="AP59" i="3"/>
  <c r="AS59" i="3"/>
  <c r="AV59" i="3"/>
  <c r="AY59" i="3"/>
  <c r="F59" i="3"/>
  <c r="E59" i="3"/>
  <c r="D59" i="3"/>
  <c r="I58" i="3"/>
  <c r="L58" i="3"/>
  <c r="O58" i="3"/>
  <c r="AG58" i="3"/>
  <c r="R58" i="3"/>
  <c r="U58" i="3"/>
  <c r="AA58" i="3"/>
  <c r="X58" i="3"/>
  <c r="AD58" i="3"/>
  <c r="AJ58" i="3"/>
  <c r="AM58" i="3"/>
  <c r="AP58" i="3"/>
  <c r="AS58" i="3"/>
  <c r="AV58" i="3"/>
  <c r="AY58" i="3"/>
  <c r="F58" i="3"/>
  <c r="E58" i="3"/>
  <c r="D58" i="3"/>
  <c r="I57" i="3"/>
  <c r="L57" i="3"/>
  <c r="O57" i="3"/>
  <c r="AG57" i="3"/>
  <c r="R57" i="3"/>
  <c r="U57" i="3"/>
  <c r="AA57" i="3"/>
  <c r="X57" i="3"/>
  <c r="AD57" i="3"/>
  <c r="AJ57" i="3"/>
  <c r="AM57" i="3"/>
  <c r="AP57" i="3"/>
  <c r="AS57" i="3"/>
  <c r="AV57" i="3"/>
  <c r="AY57" i="3"/>
  <c r="F57" i="3"/>
  <c r="E57" i="3"/>
  <c r="D57" i="3"/>
  <c r="I56" i="3"/>
  <c r="L56" i="3"/>
  <c r="O56" i="3"/>
  <c r="AG56" i="3"/>
  <c r="R56" i="3"/>
  <c r="U56" i="3"/>
  <c r="AA56" i="3"/>
  <c r="X56" i="3"/>
  <c r="AD56" i="3"/>
  <c r="AJ56" i="3"/>
  <c r="AM56" i="3"/>
  <c r="AP56" i="3"/>
  <c r="AS56" i="3"/>
  <c r="AV56" i="3"/>
  <c r="AY56" i="3"/>
  <c r="F56" i="3"/>
  <c r="E56" i="3"/>
  <c r="D56" i="3"/>
  <c r="I55" i="3"/>
  <c r="L55" i="3"/>
  <c r="O55" i="3"/>
  <c r="AG55" i="3"/>
  <c r="R55" i="3"/>
  <c r="U55" i="3"/>
  <c r="AA55" i="3"/>
  <c r="X55" i="3"/>
  <c r="AD55" i="3"/>
  <c r="AJ55" i="3"/>
  <c r="AM55" i="3"/>
  <c r="AP55" i="3"/>
  <c r="AS55" i="3"/>
  <c r="AV55" i="3"/>
  <c r="AY55" i="3"/>
  <c r="F55" i="3"/>
  <c r="E55" i="3"/>
  <c r="D55" i="3"/>
  <c r="I54" i="3"/>
  <c r="L54" i="3"/>
  <c r="O54" i="3"/>
  <c r="AG54" i="3"/>
  <c r="R54" i="3"/>
  <c r="U54" i="3"/>
  <c r="AA54" i="3"/>
  <c r="X54" i="3"/>
  <c r="AD54" i="3"/>
  <c r="AJ54" i="3"/>
  <c r="AM54" i="3"/>
  <c r="AP54" i="3"/>
  <c r="AS54" i="3"/>
  <c r="AV54" i="3"/>
  <c r="AY54" i="3"/>
  <c r="F54" i="3"/>
  <c r="E54" i="3"/>
  <c r="D54" i="3"/>
  <c r="I53" i="3"/>
  <c r="L53" i="3"/>
  <c r="O53" i="3"/>
  <c r="AG53" i="3"/>
  <c r="R53" i="3"/>
  <c r="U53" i="3"/>
  <c r="AA53" i="3"/>
  <c r="X53" i="3"/>
  <c r="AD53" i="3"/>
  <c r="AJ53" i="3"/>
  <c r="AM53" i="3"/>
  <c r="AP53" i="3"/>
  <c r="AS53" i="3"/>
  <c r="AV53" i="3"/>
  <c r="AY53" i="3"/>
  <c r="F53" i="3"/>
  <c r="E53" i="3"/>
  <c r="D53" i="3"/>
  <c r="I52" i="3"/>
  <c r="L52" i="3"/>
  <c r="O52" i="3"/>
  <c r="AG52" i="3"/>
  <c r="R52" i="3"/>
  <c r="U52" i="3"/>
  <c r="AA52" i="3"/>
  <c r="X52" i="3"/>
  <c r="AD52" i="3"/>
  <c r="AJ52" i="3"/>
  <c r="AM52" i="3"/>
  <c r="AP52" i="3"/>
  <c r="AS52" i="3"/>
  <c r="AV52" i="3"/>
  <c r="AY52" i="3"/>
  <c r="F52" i="3"/>
  <c r="E52" i="3"/>
  <c r="D52" i="3"/>
  <c r="I51" i="3"/>
  <c r="L51" i="3"/>
  <c r="O51" i="3"/>
  <c r="AG51" i="3"/>
  <c r="R51" i="3"/>
  <c r="U51" i="3"/>
  <c r="AA51" i="3"/>
  <c r="X51" i="3"/>
  <c r="AD51" i="3"/>
  <c r="AJ51" i="3"/>
  <c r="AM51" i="3"/>
  <c r="AP51" i="3"/>
  <c r="AS51" i="3"/>
  <c r="AV51" i="3"/>
  <c r="AY51" i="3"/>
  <c r="F51" i="3"/>
  <c r="E51" i="3"/>
  <c r="D51" i="3"/>
  <c r="I50" i="3"/>
  <c r="L50" i="3"/>
  <c r="O50" i="3"/>
  <c r="AG50" i="3"/>
  <c r="R50" i="3"/>
  <c r="U50" i="3"/>
  <c r="AA50" i="3"/>
  <c r="X50" i="3"/>
  <c r="AD50" i="3"/>
  <c r="AJ50" i="3"/>
  <c r="AM50" i="3"/>
  <c r="AP50" i="3"/>
  <c r="AS50" i="3"/>
  <c r="AV50" i="3"/>
  <c r="AY50" i="3"/>
  <c r="F50" i="3"/>
  <c r="E50" i="3"/>
  <c r="D50" i="3"/>
  <c r="I49" i="3"/>
  <c r="L49" i="3"/>
  <c r="O49" i="3"/>
  <c r="AG49" i="3"/>
  <c r="R49" i="3"/>
  <c r="U49" i="3"/>
  <c r="AA49" i="3"/>
  <c r="X49" i="3"/>
  <c r="AD49" i="3"/>
  <c r="AJ49" i="3"/>
  <c r="AM49" i="3"/>
  <c r="AP49" i="3"/>
  <c r="AS49" i="3"/>
  <c r="AV49" i="3"/>
  <c r="AY49" i="3"/>
  <c r="F49" i="3"/>
  <c r="E49" i="3"/>
  <c r="D49" i="3"/>
  <c r="I48" i="3"/>
  <c r="L48" i="3"/>
  <c r="O48" i="3"/>
  <c r="AG48" i="3"/>
  <c r="R48" i="3"/>
  <c r="U48" i="3"/>
  <c r="AA48" i="3"/>
  <c r="X48" i="3"/>
  <c r="AD48" i="3"/>
  <c r="AJ48" i="3"/>
  <c r="AM48" i="3"/>
  <c r="AP48" i="3"/>
  <c r="AS48" i="3"/>
  <c r="AV48" i="3"/>
  <c r="AY48" i="3"/>
  <c r="F48" i="3"/>
  <c r="E48" i="3"/>
  <c r="D48" i="3"/>
  <c r="I47" i="3"/>
  <c r="L47" i="3"/>
  <c r="O47" i="3"/>
  <c r="AG47" i="3"/>
  <c r="R47" i="3"/>
  <c r="U47" i="3"/>
  <c r="AA47" i="3"/>
  <c r="X47" i="3"/>
  <c r="AD47" i="3"/>
  <c r="AJ47" i="3"/>
  <c r="AM47" i="3"/>
  <c r="AP47" i="3"/>
  <c r="AS47" i="3"/>
  <c r="AV47" i="3"/>
  <c r="AY47" i="3"/>
  <c r="F47" i="3"/>
  <c r="E47" i="3"/>
  <c r="D47" i="3"/>
  <c r="I46" i="3"/>
  <c r="L46" i="3"/>
  <c r="O46" i="3"/>
  <c r="AG46" i="3"/>
  <c r="R46" i="3"/>
  <c r="U46" i="3"/>
  <c r="AA46" i="3"/>
  <c r="X46" i="3"/>
  <c r="AD46" i="3"/>
  <c r="AJ46" i="3"/>
  <c r="AM46" i="3"/>
  <c r="AP46" i="3"/>
  <c r="AS46" i="3"/>
  <c r="AV46" i="3"/>
  <c r="AY46" i="3"/>
  <c r="F46" i="3"/>
  <c r="E46" i="3"/>
  <c r="D46" i="3"/>
  <c r="I45" i="3"/>
  <c r="L45" i="3"/>
  <c r="O45" i="3"/>
  <c r="AG45" i="3"/>
  <c r="R45" i="3"/>
  <c r="U45" i="3"/>
  <c r="AA45" i="3"/>
  <c r="X45" i="3"/>
  <c r="AD45" i="3"/>
  <c r="AJ45" i="3"/>
  <c r="AM45" i="3"/>
  <c r="AP45" i="3"/>
  <c r="AS45" i="3"/>
  <c r="AV45" i="3"/>
  <c r="AY45" i="3"/>
  <c r="E45" i="3"/>
  <c r="D45" i="3"/>
  <c r="I44" i="3"/>
  <c r="L44" i="3"/>
  <c r="O44" i="3"/>
  <c r="AG44" i="3"/>
  <c r="R44" i="3"/>
  <c r="U44" i="3"/>
  <c r="AA44" i="3"/>
  <c r="X44" i="3"/>
  <c r="AD44" i="3"/>
  <c r="AJ44" i="3"/>
  <c r="AM44" i="3"/>
  <c r="AP44" i="3"/>
  <c r="AS44" i="3"/>
  <c r="AV44" i="3"/>
  <c r="AY44" i="3"/>
  <c r="E44" i="3"/>
  <c r="D44" i="3"/>
  <c r="I43" i="3"/>
  <c r="F43" i="3"/>
  <c r="L43" i="3"/>
  <c r="O43" i="3"/>
  <c r="AG43" i="3"/>
  <c r="R43" i="3"/>
  <c r="U43" i="3"/>
  <c r="AA43" i="3"/>
  <c r="X43" i="3"/>
  <c r="AD43" i="3"/>
  <c r="AJ43" i="3"/>
  <c r="AM43" i="3"/>
  <c r="AP43" i="3"/>
  <c r="AS43" i="3"/>
  <c r="AV43" i="3"/>
  <c r="AY43" i="3"/>
  <c r="E43" i="3"/>
  <c r="D43" i="3"/>
  <c r="I42" i="3"/>
  <c r="L42" i="3"/>
  <c r="O42" i="3"/>
  <c r="AG42" i="3"/>
  <c r="R42" i="3"/>
  <c r="U42" i="3"/>
  <c r="AA42" i="3"/>
  <c r="X42" i="3"/>
  <c r="AD42" i="3"/>
  <c r="AJ42" i="3"/>
  <c r="AM42" i="3"/>
  <c r="AP42" i="3"/>
  <c r="AS42" i="3"/>
  <c r="AV42" i="3"/>
  <c r="AY42" i="3"/>
  <c r="E42" i="3"/>
  <c r="D42" i="3"/>
  <c r="I41" i="3"/>
  <c r="L41" i="3"/>
  <c r="O41" i="3"/>
  <c r="AG41" i="3"/>
  <c r="R41" i="3"/>
  <c r="U41" i="3"/>
  <c r="AA41" i="3"/>
  <c r="X41" i="3"/>
  <c r="AD41" i="3"/>
  <c r="AJ41" i="3"/>
  <c r="AM41" i="3"/>
  <c r="AP41" i="3"/>
  <c r="AS41" i="3"/>
  <c r="AV41" i="3"/>
  <c r="AY41" i="3"/>
  <c r="E41" i="3"/>
  <c r="D41" i="3"/>
  <c r="I40" i="3"/>
  <c r="L40" i="3"/>
  <c r="O40" i="3"/>
  <c r="AG40" i="3"/>
  <c r="R40" i="3"/>
  <c r="U40" i="3"/>
  <c r="AA40" i="3"/>
  <c r="X40" i="3"/>
  <c r="AD40" i="3"/>
  <c r="AJ40" i="3"/>
  <c r="AM40" i="3"/>
  <c r="AP40" i="3"/>
  <c r="AS40" i="3"/>
  <c r="AV40" i="3"/>
  <c r="AY40" i="3"/>
  <c r="E40" i="3"/>
  <c r="D40" i="3"/>
  <c r="I39" i="3"/>
  <c r="L39" i="3"/>
  <c r="O39" i="3"/>
  <c r="AG39" i="3"/>
  <c r="R39" i="3"/>
  <c r="U39" i="3"/>
  <c r="F39" i="3"/>
  <c r="AA39" i="3"/>
  <c r="X39" i="3"/>
  <c r="AD39" i="3"/>
  <c r="AJ39" i="3"/>
  <c r="AM39" i="3"/>
  <c r="AP39" i="3"/>
  <c r="AS39" i="3"/>
  <c r="AV39" i="3"/>
  <c r="AY39" i="3"/>
  <c r="E39" i="3"/>
  <c r="D39" i="3"/>
  <c r="I38" i="3"/>
  <c r="L38" i="3"/>
  <c r="O38" i="3"/>
  <c r="AG38" i="3"/>
  <c r="R38" i="3"/>
  <c r="U38" i="3"/>
  <c r="AA38" i="3"/>
  <c r="X38" i="3"/>
  <c r="AD38" i="3"/>
  <c r="AJ38" i="3"/>
  <c r="AM38" i="3"/>
  <c r="AP38" i="3"/>
  <c r="AS38" i="3"/>
  <c r="AV38" i="3"/>
  <c r="AY38" i="3"/>
  <c r="E38" i="3"/>
  <c r="D38" i="3"/>
  <c r="I37" i="3"/>
  <c r="L37" i="3"/>
  <c r="O37" i="3"/>
  <c r="AG37" i="3"/>
  <c r="R37" i="3"/>
  <c r="U37" i="3"/>
  <c r="AA37" i="3"/>
  <c r="X37" i="3"/>
  <c r="AD37" i="3"/>
  <c r="AJ37" i="3"/>
  <c r="AM37" i="3"/>
  <c r="AP37" i="3"/>
  <c r="AS37" i="3"/>
  <c r="AV37" i="3"/>
  <c r="AY37" i="3"/>
  <c r="E37" i="3"/>
  <c r="D37" i="3"/>
  <c r="I36" i="3"/>
  <c r="L36" i="3"/>
  <c r="O36" i="3"/>
  <c r="AG36" i="3"/>
  <c r="R36" i="3"/>
  <c r="U36" i="3"/>
  <c r="AA36" i="3"/>
  <c r="X36" i="3"/>
  <c r="AD36" i="3"/>
  <c r="AJ36" i="3"/>
  <c r="AM36" i="3"/>
  <c r="AP36" i="3"/>
  <c r="AS36" i="3"/>
  <c r="AV36" i="3"/>
  <c r="AY36" i="3"/>
  <c r="E36" i="3"/>
  <c r="D36" i="3"/>
  <c r="I35" i="3"/>
  <c r="L35" i="3"/>
  <c r="O35" i="3"/>
  <c r="AG35" i="3"/>
  <c r="R35" i="3"/>
  <c r="U35" i="3"/>
  <c r="AA35" i="3"/>
  <c r="X35" i="3"/>
  <c r="AD35" i="3"/>
  <c r="AJ35" i="3"/>
  <c r="AM35" i="3"/>
  <c r="AP35" i="3"/>
  <c r="AS35" i="3"/>
  <c r="AV35" i="3"/>
  <c r="AY35" i="3"/>
  <c r="F35" i="3"/>
  <c r="E35" i="3"/>
  <c r="D35" i="3"/>
  <c r="I34" i="3"/>
  <c r="L34" i="3"/>
  <c r="O34" i="3"/>
  <c r="AG34" i="3"/>
  <c r="R34" i="3"/>
  <c r="U34" i="3"/>
  <c r="AA34" i="3"/>
  <c r="X34" i="3"/>
  <c r="AD34" i="3"/>
  <c r="AJ34" i="3"/>
  <c r="AM34" i="3"/>
  <c r="AP34" i="3"/>
  <c r="AS34" i="3"/>
  <c r="AV34" i="3"/>
  <c r="AY34" i="3"/>
  <c r="F34" i="3"/>
  <c r="E34" i="3"/>
  <c r="D34" i="3"/>
  <c r="I33" i="3"/>
  <c r="L33" i="3"/>
  <c r="O33" i="3"/>
  <c r="AG33" i="3"/>
  <c r="R33" i="3"/>
  <c r="U33" i="3"/>
  <c r="AA33" i="3"/>
  <c r="X33" i="3"/>
  <c r="AD33" i="3"/>
  <c r="AJ33" i="3"/>
  <c r="AM33" i="3"/>
  <c r="AP33" i="3"/>
  <c r="AS33" i="3"/>
  <c r="AV33" i="3"/>
  <c r="AY33" i="3"/>
  <c r="F33" i="3"/>
  <c r="E33" i="3"/>
  <c r="D33" i="3"/>
  <c r="I32" i="3"/>
  <c r="L32" i="3"/>
  <c r="O32" i="3"/>
  <c r="AG32" i="3"/>
  <c r="R32" i="3"/>
  <c r="U32" i="3"/>
  <c r="AA32" i="3"/>
  <c r="X32" i="3"/>
  <c r="AD32" i="3"/>
  <c r="AJ32" i="3"/>
  <c r="AM32" i="3"/>
  <c r="AP32" i="3"/>
  <c r="AS32" i="3"/>
  <c r="AV32" i="3"/>
  <c r="AY32" i="3"/>
  <c r="F32" i="3"/>
  <c r="E32" i="3"/>
  <c r="D32" i="3"/>
  <c r="I31" i="3"/>
  <c r="L31" i="3"/>
  <c r="O31" i="3"/>
  <c r="AG31" i="3"/>
  <c r="R31" i="3"/>
  <c r="U31" i="3"/>
  <c r="AA31" i="3"/>
  <c r="X31" i="3"/>
  <c r="AD31" i="3"/>
  <c r="AJ31" i="3"/>
  <c r="AM31" i="3"/>
  <c r="AP31" i="3"/>
  <c r="AS31" i="3"/>
  <c r="AV31" i="3"/>
  <c r="AY31" i="3"/>
  <c r="F31" i="3"/>
  <c r="E31" i="3"/>
  <c r="D31" i="3"/>
  <c r="I30" i="3"/>
  <c r="L30" i="3"/>
  <c r="O30" i="3"/>
  <c r="AG30" i="3"/>
  <c r="R30" i="3"/>
  <c r="U30" i="3"/>
  <c r="AA30" i="3"/>
  <c r="X30" i="3"/>
  <c r="AD30" i="3"/>
  <c r="AJ30" i="3"/>
  <c r="AM30" i="3"/>
  <c r="AP30" i="3"/>
  <c r="AS30" i="3"/>
  <c r="AV30" i="3"/>
  <c r="AY30" i="3"/>
  <c r="F30" i="3"/>
  <c r="E30" i="3"/>
  <c r="D30" i="3"/>
  <c r="I29" i="3"/>
  <c r="L29" i="3"/>
  <c r="O29" i="3"/>
  <c r="AG29" i="3"/>
  <c r="R29" i="3"/>
  <c r="U29" i="3"/>
  <c r="AA29" i="3"/>
  <c r="X29" i="3"/>
  <c r="AD29" i="3"/>
  <c r="AJ29" i="3"/>
  <c r="AM29" i="3"/>
  <c r="AP29" i="3"/>
  <c r="AS29" i="3"/>
  <c r="AV29" i="3"/>
  <c r="AY29" i="3"/>
  <c r="F29" i="3"/>
  <c r="E29" i="3"/>
  <c r="D29" i="3"/>
  <c r="I28" i="3"/>
  <c r="L28" i="3"/>
  <c r="O28" i="3"/>
  <c r="AG28" i="3"/>
  <c r="R28" i="3"/>
  <c r="U28" i="3"/>
  <c r="AA28" i="3"/>
  <c r="X28" i="3"/>
  <c r="AD28" i="3"/>
  <c r="AJ28" i="3"/>
  <c r="AM28" i="3"/>
  <c r="AP28" i="3"/>
  <c r="AS28" i="3"/>
  <c r="AV28" i="3"/>
  <c r="AY28" i="3"/>
  <c r="F28" i="3"/>
  <c r="E28" i="3"/>
  <c r="D28" i="3"/>
  <c r="I27" i="3"/>
  <c r="L27" i="3"/>
  <c r="O27" i="3"/>
  <c r="AG27" i="3"/>
  <c r="R27" i="3"/>
  <c r="U27" i="3"/>
  <c r="AA27" i="3"/>
  <c r="X27" i="3"/>
  <c r="AD27" i="3"/>
  <c r="AJ27" i="3"/>
  <c r="AM27" i="3"/>
  <c r="AP27" i="3"/>
  <c r="AS27" i="3"/>
  <c r="AV27" i="3"/>
  <c r="AY27" i="3"/>
  <c r="F27" i="3"/>
  <c r="E27" i="3"/>
  <c r="D27" i="3"/>
  <c r="I26" i="3"/>
  <c r="L26" i="3"/>
  <c r="O26" i="3"/>
  <c r="AG26" i="3"/>
  <c r="R26" i="3"/>
  <c r="U26" i="3"/>
  <c r="AA26" i="3"/>
  <c r="X26" i="3"/>
  <c r="AD26" i="3"/>
  <c r="AJ26" i="3"/>
  <c r="AM26" i="3"/>
  <c r="AP26" i="3"/>
  <c r="AS26" i="3"/>
  <c r="AV26" i="3"/>
  <c r="AY26" i="3"/>
  <c r="F26" i="3"/>
  <c r="E26" i="3"/>
  <c r="D26" i="3"/>
  <c r="E25" i="3"/>
  <c r="D25" i="3"/>
  <c r="E24" i="3"/>
  <c r="D24" i="3"/>
  <c r="E23" i="3"/>
  <c r="D23" i="3"/>
  <c r="E22" i="3"/>
  <c r="D22" i="3"/>
  <c r="E21" i="3"/>
  <c r="D21" i="3"/>
  <c r="E20" i="3"/>
  <c r="D20" i="3"/>
  <c r="E19" i="3"/>
  <c r="D19" i="3"/>
  <c r="E18" i="3"/>
  <c r="D18" i="3"/>
  <c r="E17" i="3"/>
  <c r="D17" i="3"/>
  <c r="E16" i="3"/>
  <c r="D16" i="3"/>
  <c r="I15" i="3"/>
  <c r="L15" i="3"/>
  <c r="AG15" i="3"/>
  <c r="R15" i="3"/>
  <c r="U15" i="3"/>
  <c r="AA15" i="3"/>
  <c r="X15" i="3"/>
  <c r="AD15" i="3"/>
  <c r="AJ15" i="3"/>
  <c r="AM15" i="3"/>
  <c r="AP15" i="3"/>
  <c r="AS15" i="3"/>
  <c r="AV15" i="3"/>
  <c r="AY15" i="3"/>
  <c r="D15" i="3"/>
  <c r="I14" i="3"/>
  <c r="L14" i="3"/>
  <c r="AG14" i="3"/>
  <c r="R14" i="3"/>
  <c r="U14" i="3"/>
  <c r="AA14" i="3"/>
  <c r="X14" i="3"/>
  <c r="AD14" i="3"/>
  <c r="AJ14" i="3"/>
  <c r="AM14" i="3"/>
  <c r="AP14" i="3"/>
  <c r="AS14" i="3"/>
  <c r="AV14" i="3"/>
  <c r="AY14" i="3"/>
  <c r="E14" i="3"/>
  <c r="I13" i="3"/>
  <c r="L13" i="3"/>
  <c r="AG13" i="3"/>
  <c r="R13" i="3"/>
  <c r="U13" i="3"/>
  <c r="AA13" i="3"/>
  <c r="X13" i="3"/>
  <c r="AD13" i="3"/>
  <c r="AJ13" i="3"/>
  <c r="AM13" i="3"/>
  <c r="AP13" i="3"/>
  <c r="AS13" i="3"/>
  <c r="AV13" i="3"/>
  <c r="AY13" i="3"/>
  <c r="E13" i="3"/>
  <c r="I12" i="3"/>
  <c r="L12" i="3"/>
  <c r="O12" i="3"/>
  <c r="AG12" i="3"/>
  <c r="R12" i="3"/>
  <c r="U12" i="3"/>
  <c r="F12" i="3"/>
  <c r="AA12" i="3"/>
  <c r="X12" i="3"/>
  <c r="AD12" i="3"/>
  <c r="AJ12" i="3"/>
  <c r="AM12" i="3"/>
  <c r="AP12" i="3"/>
  <c r="AS12" i="3"/>
  <c r="AV12" i="3"/>
  <c r="AY12" i="3"/>
  <c r="E12" i="3"/>
  <c r="D12" i="3"/>
  <c r="I11" i="3"/>
  <c r="L11" i="3"/>
  <c r="AG11" i="3"/>
  <c r="R11" i="3"/>
  <c r="U11" i="3"/>
  <c r="AA11" i="3"/>
  <c r="X11" i="3"/>
  <c r="AD11" i="3"/>
  <c r="AJ11" i="3"/>
  <c r="AM11" i="3"/>
  <c r="AP11" i="3"/>
  <c r="AS11" i="3"/>
  <c r="AV11" i="3"/>
  <c r="AY11" i="3"/>
  <c r="D11" i="3"/>
  <c r="I10" i="3"/>
  <c r="L10" i="3"/>
  <c r="O10" i="3"/>
  <c r="AG10" i="3"/>
  <c r="R10" i="3"/>
  <c r="U10" i="3"/>
  <c r="AA10" i="3"/>
  <c r="X10" i="3"/>
  <c r="AD10" i="3"/>
  <c r="AJ10" i="3"/>
  <c r="AM10" i="3"/>
  <c r="AP10" i="3"/>
  <c r="AS10" i="3"/>
  <c r="AV10" i="3"/>
  <c r="AY10" i="3"/>
  <c r="E10" i="3"/>
  <c r="I9" i="3"/>
  <c r="L9" i="3"/>
  <c r="AG9" i="3"/>
  <c r="R9" i="3"/>
  <c r="U9" i="3"/>
  <c r="AA9" i="3"/>
  <c r="X9" i="3"/>
  <c r="AD9" i="3"/>
  <c r="AJ9" i="3"/>
  <c r="AM9" i="3"/>
  <c r="AP9" i="3"/>
  <c r="AS9" i="3"/>
  <c r="AV9" i="3"/>
  <c r="AY9" i="3"/>
  <c r="I8" i="3"/>
  <c r="L8" i="3"/>
  <c r="O8" i="3"/>
  <c r="AG8" i="3"/>
  <c r="R8" i="3"/>
  <c r="U8" i="3"/>
  <c r="F8" i="3"/>
  <c r="AA8" i="3"/>
  <c r="X8" i="3"/>
  <c r="AD8" i="3"/>
  <c r="AJ8" i="3"/>
  <c r="AM8" i="3"/>
  <c r="AP8" i="3"/>
  <c r="AS8" i="3"/>
  <c r="AV8" i="3"/>
  <c r="AY8" i="3"/>
  <c r="E8" i="3"/>
  <c r="D8" i="3"/>
  <c r="I7" i="3"/>
  <c r="L7" i="3"/>
  <c r="AG7" i="3"/>
  <c r="R7" i="3"/>
  <c r="AA7" i="3"/>
  <c r="X7" i="3"/>
  <c r="AD7" i="3"/>
  <c r="AJ7" i="3"/>
  <c r="AM7" i="3"/>
  <c r="AP7" i="3"/>
  <c r="AS7" i="3"/>
  <c r="AV7" i="3"/>
  <c r="AY7" i="3"/>
  <c r="D7" i="3"/>
  <c r="I6" i="3"/>
  <c r="L6" i="3"/>
  <c r="O6" i="3"/>
  <c r="AG6" i="3"/>
  <c r="R6" i="3"/>
  <c r="AA6" i="3"/>
  <c r="X6" i="3"/>
  <c r="AD6" i="3"/>
  <c r="AJ6" i="3"/>
  <c r="AM6" i="3"/>
  <c r="AP6" i="3"/>
  <c r="AS6" i="3"/>
  <c r="AV6" i="3"/>
  <c r="AY6" i="3"/>
  <c r="E6" i="3"/>
  <c r="E35" i="17"/>
  <c r="E34" i="17"/>
  <c r="E33" i="17"/>
  <c r="E32" i="17"/>
  <c r="E31" i="17"/>
  <c r="E30" i="17"/>
  <c r="E29" i="17"/>
  <c r="E28" i="17"/>
  <c r="E27" i="17"/>
  <c r="E26" i="17"/>
  <c r="F2" i="20"/>
  <c r="E2" i="20"/>
  <c r="AA67" i="19"/>
  <c r="AG67" i="19"/>
  <c r="AA68" i="19"/>
  <c r="AG68" i="19"/>
  <c r="AB68" i="19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P25" i="3"/>
  <c r="AP24" i="3"/>
  <c r="AP23" i="3"/>
  <c r="AP22" i="3"/>
  <c r="AP21" i="3"/>
  <c r="AP20" i="3"/>
  <c r="AP19" i="3"/>
  <c r="AP18" i="3"/>
  <c r="AP17" i="3"/>
  <c r="AP16" i="3"/>
  <c r="AR116" i="3"/>
  <c r="AQ116" i="3"/>
  <c r="AR115" i="3"/>
  <c r="AQ115" i="3"/>
  <c r="AS115" i="3"/>
  <c r="AR114" i="3"/>
  <c r="AQ114" i="3"/>
  <c r="AR113" i="3"/>
  <c r="AQ113" i="3"/>
  <c r="AR112" i="3"/>
  <c r="AQ112" i="3"/>
  <c r="AR111" i="3"/>
  <c r="AQ111" i="3"/>
  <c r="AR110" i="3"/>
  <c r="AQ110" i="3"/>
  <c r="AR109" i="3"/>
  <c r="AQ109" i="3"/>
  <c r="AR108" i="3"/>
  <c r="AQ108" i="3"/>
  <c r="AR107" i="3"/>
  <c r="AQ107" i="3"/>
  <c r="AS25" i="3"/>
  <c r="AS24" i="3"/>
  <c r="AS23" i="3"/>
  <c r="AS22" i="3"/>
  <c r="AS21" i="3"/>
  <c r="AS20" i="3"/>
  <c r="AS19" i="3"/>
  <c r="AS18" i="3"/>
  <c r="AS17" i="3"/>
  <c r="AS16" i="3"/>
  <c r="AU116" i="3"/>
  <c r="AT116" i="3"/>
  <c r="AV116" i="3"/>
  <c r="AU115" i="3"/>
  <c r="AT115" i="3"/>
  <c r="AU114" i="3"/>
  <c r="AT114" i="3"/>
  <c r="AU113" i="3"/>
  <c r="AT113" i="3"/>
  <c r="AU112" i="3"/>
  <c r="AT112" i="3"/>
  <c r="AU111" i="3"/>
  <c r="AT111" i="3"/>
  <c r="AU110" i="3"/>
  <c r="AT110" i="3"/>
  <c r="AU109" i="3"/>
  <c r="AT109" i="3"/>
  <c r="AU108" i="3"/>
  <c r="AT108" i="3"/>
  <c r="AV108" i="3"/>
  <c r="AU107" i="3"/>
  <c r="AT107" i="3"/>
  <c r="AV25" i="3"/>
  <c r="AV24" i="3"/>
  <c r="AV23" i="3"/>
  <c r="AV22" i="3"/>
  <c r="AV21" i="3"/>
  <c r="AV20" i="3"/>
  <c r="AV19" i="3"/>
  <c r="AV18" i="3"/>
  <c r="AV17" i="3"/>
  <c r="AV16" i="3"/>
  <c r="AL116" i="3"/>
  <c r="AK116" i="3"/>
  <c r="AL115" i="3"/>
  <c r="AK115" i="3"/>
  <c r="AL114" i="3"/>
  <c r="AK114" i="3"/>
  <c r="AL113" i="3"/>
  <c r="AK113" i="3"/>
  <c r="AL112" i="3"/>
  <c r="AK112" i="3"/>
  <c r="AL111" i="3"/>
  <c r="AK111" i="3"/>
  <c r="AL110" i="3"/>
  <c r="AK110" i="3"/>
  <c r="AL109" i="3"/>
  <c r="AK109" i="3"/>
  <c r="AL108" i="3"/>
  <c r="AK108" i="3"/>
  <c r="AL107" i="3"/>
  <c r="AK107" i="3"/>
  <c r="AM25" i="3"/>
  <c r="AM24" i="3"/>
  <c r="AM23" i="3"/>
  <c r="AM22" i="3"/>
  <c r="AM21" i="3"/>
  <c r="AM20" i="3"/>
  <c r="AM19" i="3"/>
  <c r="AM18" i="3"/>
  <c r="AM17" i="3"/>
  <c r="AM16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J25" i="3"/>
  <c r="AJ24" i="3"/>
  <c r="AJ23" i="3"/>
  <c r="AJ22" i="3"/>
  <c r="AJ21" i="3"/>
  <c r="AJ20" i="3"/>
  <c r="AJ19" i="3"/>
  <c r="AJ18" i="3"/>
  <c r="AJ17" i="3"/>
  <c r="AJ16" i="3"/>
  <c r="AV111" i="3"/>
  <c r="AV115" i="3"/>
  <c r="AV114" i="3"/>
  <c r="AV107" i="3"/>
  <c r="AS116" i="3"/>
  <c r="AS113" i="3"/>
  <c r="AS108" i="3"/>
  <c r="AS110" i="3"/>
  <c r="AS111" i="3"/>
  <c r="AS107" i="3"/>
  <c r="AP108" i="3"/>
  <c r="AP112" i="3"/>
  <c r="AP115" i="3"/>
  <c r="AP114" i="3"/>
  <c r="AP116" i="3"/>
  <c r="AP109" i="3"/>
  <c r="AP111" i="3"/>
  <c r="AP107" i="3"/>
  <c r="AM111" i="3"/>
  <c r="AM115" i="3"/>
  <c r="AV109" i="3"/>
  <c r="AV113" i="3"/>
  <c r="AV110" i="3"/>
  <c r="AV112" i="3"/>
  <c r="AS112" i="3"/>
  <c r="AS114" i="3"/>
  <c r="AS109" i="3"/>
  <c r="AP110" i="3"/>
  <c r="AP113" i="3"/>
  <c r="AJ115" i="3"/>
  <c r="AM112" i="3"/>
  <c r="AM116" i="3"/>
  <c r="AJ107" i="3"/>
  <c r="AJ111" i="3"/>
  <c r="AM110" i="3"/>
  <c r="AM107" i="3"/>
  <c r="AM113" i="3"/>
  <c r="AJ110" i="3"/>
  <c r="AM114" i="3"/>
  <c r="AJ109" i="3"/>
  <c r="AJ113" i="3"/>
  <c r="AM109" i="3"/>
  <c r="AJ108" i="3"/>
  <c r="AM108" i="3"/>
  <c r="AJ114" i="3"/>
  <c r="AJ116" i="3"/>
  <c r="AJ112" i="3"/>
  <c r="AF116" i="3"/>
  <c r="AE116" i="3"/>
  <c r="AF115" i="3"/>
  <c r="AE115" i="3"/>
  <c r="AF114" i="3"/>
  <c r="AE114" i="3"/>
  <c r="AF113" i="3"/>
  <c r="AE113" i="3"/>
  <c r="AF112" i="3"/>
  <c r="AE112" i="3"/>
  <c r="AF111" i="3"/>
  <c r="AE111" i="3"/>
  <c r="AF110" i="3"/>
  <c r="AE110" i="3"/>
  <c r="AF109" i="3"/>
  <c r="AE109" i="3"/>
  <c r="AF108" i="3"/>
  <c r="AE108" i="3"/>
  <c r="AF107" i="3"/>
  <c r="AE107" i="3"/>
  <c r="AG25" i="3"/>
  <c r="AG24" i="3"/>
  <c r="AG23" i="3"/>
  <c r="AG22" i="3"/>
  <c r="AG21" i="3"/>
  <c r="AG20" i="3"/>
  <c r="AG19" i="3"/>
  <c r="AG18" i="3"/>
  <c r="AG17" i="3"/>
  <c r="AG16" i="3"/>
  <c r="L5" i="28"/>
  <c r="L4" i="28"/>
  <c r="L3" i="28"/>
  <c r="L6" i="28"/>
  <c r="L7" i="28"/>
  <c r="L8" i="28"/>
  <c r="L9" i="28"/>
  <c r="L10" i="28"/>
  <c r="AG108" i="3"/>
  <c r="AG110" i="3"/>
  <c r="AG115" i="3"/>
  <c r="AG109" i="3"/>
  <c r="AG107" i="3"/>
  <c r="AG111" i="3"/>
  <c r="AG116" i="3"/>
  <c r="AG112" i="3"/>
  <c r="AG114" i="3"/>
  <c r="AG113" i="3"/>
  <c r="I8" i="28"/>
  <c r="I9" i="28"/>
  <c r="H8" i="28"/>
  <c r="H9" i="28"/>
  <c r="AA61" i="19"/>
  <c r="AG61" i="19"/>
  <c r="AA65" i="19"/>
  <c r="AG65" i="19"/>
  <c r="AA57" i="19"/>
  <c r="AG57" i="19"/>
  <c r="AA53" i="19"/>
  <c r="AG53" i="19"/>
  <c r="AA10" i="19"/>
  <c r="AG10" i="19"/>
  <c r="AA12" i="19"/>
  <c r="AG12" i="19"/>
  <c r="AA14" i="19"/>
  <c r="AG14" i="19"/>
  <c r="AA16" i="19"/>
  <c r="AG16" i="19"/>
  <c r="AA21" i="19"/>
  <c r="AG21" i="19"/>
  <c r="AA23" i="19"/>
  <c r="AG23" i="19"/>
  <c r="AA25" i="19"/>
  <c r="AG25" i="19"/>
  <c r="AA27" i="19"/>
  <c r="AG27" i="19"/>
  <c r="AA30" i="19"/>
  <c r="AG30" i="19"/>
  <c r="AA31" i="19"/>
  <c r="AG31" i="19"/>
  <c r="AA32" i="19"/>
  <c r="AG32" i="19"/>
  <c r="AA33" i="19"/>
  <c r="AG33" i="19"/>
  <c r="AA35" i="19"/>
  <c r="AG35" i="19"/>
  <c r="AA36" i="19"/>
  <c r="AG36" i="19"/>
  <c r="AA37" i="19"/>
  <c r="AG37" i="19"/>
  <c r="AA38" i="19"/>
  <c r="AG38" i="19"/>
  <c r="AA40" i="19"/>
  <c r="AG40" i="19"/>
  <c r="AA41" i="19"/>
  <c r="AG41" i="19"/>
  <c r="AA42" i="19"/>
  <c r="AG42" i="19"/>
  <c r="AA43" i="19"/>
  <c r="AG43" i="19"/>
  <c r="AA45" i="19"/>
  <c r="AG45" i="19"/>
  <c r="AA46" i="19"/>
  <c r="AG46" i="19"/>
  <c r="AA47" i="19"/>
  <c r="AG47" i="19"/>
  <c r="AA48" i="19"/>
  <c r="AG48" i="19"/>
  <c r="AA51" i="19"/>
  <c r="AG51" i="19"/>
  <c r="AA52" i="19"/>
  <c r="AG52" i="19"/>
  <c r="AA55" i="19"/>
  <c r="AG55" i="19"/>
  <c r="AA56" i="19"/>
  <c r="AG56" i="19"/>
  <c r="AA59" i="19"/>
  <c r="AG59" i="19"/>
  <c r="AA60" i="19"/>
  <c r="AG60" i="19"/>
  <c r="AA63" i="19"/>
  <c r="AG63" i="19"/>
  <c r="AA64" i="19"/>
  <c r="AG64" i="19"/>
  <c r="AB67" i="19"/>
  <c r="AC116" i="3"/>
  <c r="AB116" i="3"/>
  <c r="AC115" i="3"/>
  <c r="AB115" i="3"/>
  <c r="AC114" i="3"/>
  <c r="AB114" i="3"/>
  <c r="AC113" i="3"/>
  <c r="AB113" i="3"/>
  <c r="AC112" i="3"/>
  <c r="AB112" i="3"/>
  <c r="AC111" i="3"/>
  <c r="AB111" i="3"/>
  <c r="AC110" i="3"/>
  <c r="AB110" i="3"/>
  <c r="AC109" i="3"/>
  <c r="AB109" i="3"/>
  <c r="AC108" i="3"/>
  <c r="AB108" i="3"/>
  <c r="AC107" i="3"/>
  <c r="AB107" i="3"/>
  <c r="AD25" i="3"/>
  <c r="AD24" i="3"/>
  <c r="AD23" i="3"/>
  <c r="AD22" i="3"/>
  <c r="AD21" i="3"/>
  <c r="AD20" i="3"/>
  <c r="AD19" i="3"/>
  <c r="AD18" i="3"/>
  <c r="AD17" i="3"/>
  <c r="AD16" i="3"/>
  <c r="I10" i="28"/>
  <c r="H10" i="28"/>
  <c r="I7" i="28"/>
  <c r="G7" i="28"/>
  <c r="H7" i="28"/>
  <c r="I6" i="28"/>
  <c r="G6" i="28"/>
  <c r="H6" i="28"/>
  <c r="I5" i="28"/>
  <c r="H5" i="28"/>
  <c r="I4" i="28"/>
  <c r="G4" i="28"/>
  <c r="H4" i="28"/>
  <c r="I3" i="28"/>
  <c r="H3" i="28"/>
  <c r="J2" i="28"/>
  <c r="L2" i="28"/>
  <c r="I2" i="28"/>
  <c r="H2" i="28"/>
  <c r="AZ127" i="3"/>
  <c r="AC135" i="3" s="1"/>
  <c r="Z116" i="3"/>
  <c r="Y116" i="3"/>
  <c r="Z115" i="3"/>
  <c r="Y115" i="3"/>
  <c r="Z114" i="3"/>
  <c r="Y114" i="3"/>
  <c r="Z113" i="3"/>
  <c r="Y113" i="3"/>
  <c r="Z112" i="3"/>
  <c r="Y112" i="3"/>
  <c r="Z111" i="3"/>
  <c r="Y111" i="3"/>
  <c r="Z110" i="3"/>
  <c r="Y110" i="3"/>
  <c r="Z109" i="3"/>
  <c r="Y109" i="3"/>
  <c r="Y108" i="3"/>
  <c r="Y107" i="3"/>
  <c r="AZ67" i="3"/>
  <c r="AL76" i="3" s="1"/>
  <c r="AM76" i="3" s="1"/>
  <c r="AZ46" i="3"/>
  <c r="AZ36" i="3"/>
  <c r="AA25" i="3"/>
  <c r="AA24" i="3"/>
  <c r="AA23" i="3"/>
  <c r="AA22" i="3"/>
  <c r="AA21" i="3"/>
  <c r="AA20" i="3"/>
  <c r="AA19" i="3"/>
  <c r="AA18" i="3"/>
  <c r="W116" i="3"/>
  <c r="W115" i="3"/>
  <c r="V115" i="3"/>
  <c r="W114" i="3"/>
  <c r="W113" i="3"/>
  <c r="W112" i="3"/>
  <c r="W111" i="3"/>
  <c r="W110" i="3"/>
  <c r="W109" i="3"/>
  <c r="V108" i="3"/>
  <c r="T116" i="3"/>
  <c r="S116" i="3"/>
  <c r="T115" i="3"/>
  <c r="S115" i="3"/>
  <c r="U115" i="3"/>
  <c r="T114" i="3"/>
  <c r="T113" i="3"/>
  <c r="S113" i="3"/>
  <c r="T112" i="3"/>
  <c r="S112" i="3"/>
  <c r="T111" i="3"/>
  <c r="S111" i="3"/>
  <c r="U111" i="3"/>
  <c r="T110" i="3"/>
  <c r="S110" i="3"/>
  <c r="U110" i="3"/>
  <c r="T109" i="3"/>
  <c r="S109" i="3"/>
  <c r="S108" i="3"/>
  <c r="U25" i="3"/>
  <c r="U24" i="3"/>
  <c r="U23" i="3"/>
  <c r="U22" i="3"/>
  <c r="U21" i="3"/>
  <c r="U20" i="3"/>
  <c r="U19" i="3"/>
  <c r="U18" i="3"/>
  <c r="U17" i="3"/>
  <c r="Q116" i="3"/>
  <c r="P116" i="3"/>
  <c r="Q115" i="3"/>
  <c r="P115" i="3"/>
  <c r="Q114" i="3"/>
  <c r="P114" i="3"/>
  <c r="Q113" i="3"/>
  <c r="P113" i="3"/>
  <c r="Q112" i="3"/>
  <c r="P112" i="3"/>
  <c r="Q111" i="3"/>
  <c r="P111" i="3"/>
  <c r="Q110" i="3"/>
  <c r="P110" i="3"/>
  <c r="Q109" i="3"/>
  <c r="P109" i="3"/>
  <c r="Q108" i="3"/>
  <c r="P108" i="3"/>
  <c r="P107" i="3"/>
  <c r="Q107" i="3"/>
  <c r="R25" i="3"/>
  <c r="R24" i="3"/>
  <c r="R23" i="3"/>
  <c r="R22" i="3"/>
  <c r="R21" i="3"/>
  <c r="R20" i="3"/>
  <c r="R19" i="3"/>
  <c r="R18" i="3"/>
  <c r="R17" i="3"/>
  <c r="R16" i="3"/>
  <c r="E138" i="14"/>
  <c r="E137" i="14"/>
  <c r="E136" i="14"/>
  <c r="E135" i="14"/>
  <c r="E134" i="14"/>
  <c r="E133" i="14"/>
  <c r="E132" i="14"/>
  <c r="E131" i="14"/>
  <c r="E130" i="14"/>
  <c r="E129" i="14"/>
  <c r="E128" i="14"/>
  <c r="D128" i="14"/>
  <c r="E127" i="14"/>
  <c r="D127" i="14"/>
  <c r="E126" i="14"/>
  <c r="D126" i="14"/>
  <c r="E125" i="14"/>
  <c r="D125" i="14"/>
  <c r="E124" i="14"/>
  <c r="D124" i="14"/>
  <c r="E123" i="14"/>
  <c r="D123" i="14"/>
  <c r="E122" i="14"/>
  <c r="D122" i="14"/>
  <c r="E121" i="14"/>
  <c r="D121" i="14"/>
  <c r="E120" i="14"/>
  <c r="D120" i="14"/>
  <c r="E119" i="14"/>
  <c r="D119" i="14"/>
  <c r="E118" i="14"/>
  <c r="E117" i="14"/>
  <c r="E116" i="14"/>
  <c r="E115" i="14"/>
  <c r="E114" i="14"/>
  <c r="E113" i="14"/>
  <c r="E112" i="14"/>
  <c r="E111" i="14"/>
  <c r="E110" i="14"/>
  <c r="E109" i="14"/>
  <c r="A107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D92" i="14"/>
  <c r="E91" i="14"/>
  <c r="D91" i="14"/>
  <c r="E90" i="14"/>
  <c r="D90" i="14"/>
  <c r="E89" i="14"/>
  <c r="E88" i="14"/>
  <c r="D88" i="14"/>
  <c r="E87" i="14"/>
  <c r="E86" i="14"/>
  <c r="D86" i="14"/>
  <c r="E85" i="14"/>
  <c r="E84" i="14"/>
  <c r="D84" i="14"/>
  <c r="E83" i="14"/>
  <c r="E82" i="14"/>
  <c r="E81" i="14"/>
  <c r="E80" i="14"/>
  <c r="E79" i="14"/>
  <c r="E78" i="14"/>
  <c r="E77" i="14"/>
  <c r="E76" i="14"/>
  <c r="E75" i="14"/>
  <c r="E74" i="14"/>
  <c r="A72" i="14"/>
  <c r="E68" i="14"/>
  <c r="E67" i="14"/>
  <c r="E66" i="14"/>
  <c r="E65" i="14"/>
  <c r="E64" i="14"/>
  <c r="E63" i="14"/>
  <c r="E62" i="14"/>
  <c r="E61" i="14"/>
  <c r="E60" i="14"/>
  <c r="E59" i="14"/>
  <c r="E58" i="14"/>
  <c r="D58" i="14"/>
  <c r="E57" i="14"/>
  <c r="D57" i="14"/>
  <c r="E56" i="14"/>
  <c r="D56" i="14"/>
  <c r="E55" i="14"/>
  <c r="D55" i="14"/>
  <c r="E54" i="14"/>
  <c r="D54" i="14"/>
  <c r="E53" i="14"/>
  <c r="D53" i="14"/>
  <c r="E52" i="14"/>
  <c r="D52" i="14"/>
  <c r="E51" i="14"/>
  <c r="D51" i="14"/>
  <c r="E50" i="14"/>
  <c r="D50" i="14"/>
  <c r="E49" i="14"/>
  <c r="D49" i="14"/>
  <c r="E48" i="14"/>
  <c r="E47" i="14"/>
  <c r="E46" i="14"/>
  <c r="E45" i="14"/>
  <c r="E44" i="14"/>
  <c r="E43" i="14"/>
  <c r="E42" i="14"/>
  <c r="E41" i="14"/>
  <c r="E40" i="14"/>
  <c r="E39" i="14"/>
  <c r="A37" i="14"/>
  <c r="E33" i="14"/>
  <c r="E32" i="14"/>
  <c r="E31" i="14"/>
  <c r="E30" i="14"/>
  <c r="E29" i="14"/>
  <c r="E28" i="14"/>
  <c r="E27" i="14"/>
  <c r="E26" i="14"/>
  <c r="E25" i="14"/>
  <c r="E24" i="14"/>
  <c r="E23" i="14"/>
  <c r="D23" i="14"/>
  <c r="E22" i="14"/>
  <c r="D22" i="14"/>
  <c r="E21" i="14"/>
  <c r="D21" i="14"/>
  <c r="E20" i="14"/>
  <c r="D20" i="14"/>
  <c r="E19" i="14"/>
  <c r="D19" i="14"/>
  <c r="E18" i="14"/>
  <c r="D18" i="14"/>
  <c r="E17" i="14"/>
  <c r="D17" i="14"/>
  <c r="E16" i="14"/>
  <c r="D16" i="14"/>
  <c r="E15" i="14"/>
  <c r="D15" i="14"/>
  <c r="E14" i="14"/>
  <c r="D14" i="14"/>
  <c r="E13" i="14"/>
  <c r="E12" i="14"/>
  <c r="E11" i="14"/>
  <c r="E10" i="14"/>
  <c r="E9" i="14"/>
  <c r="E8" i="14"/>
  <c r="E7" i="14"/>
  <c r="E6" i="14"/>
  <c r="E5" i="14"/>
  <c r="E4" i="14"/>
  <c r="A2" i="14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44" i="10"/>
  <c r="E54" i="10"/>
  <c r="M13" i="11"/>
  <c r="E63" i="10"/>
  <c r="E62" i="10"/>
  <c r="E61" i="10"/>
  <c r="E60" i="10"/>
  <c r="E40" i="10"/>
  <c r="E50" i="10"/>
  <c r="I13" i="11"/>
  <c r="I42" i="11" s="1"/>
  <c r="I27" i="11"/>
  <c r="E59" i="10"/>
  <c r="E58" i="10"/>
  <c r="E57" i="10"/>
  <c r="E56" i="10"/>
  <c r="E36" i="10"/>
  <c r="E46" i="10"/>
  <c r="E13" i="11"/>
  <c r="E55" i="10"/>
  <c r="E35" i="10"/>
  <c r="E45" i="10"/>
  <c r="D13" i="11"/>
  <c r="D42" i="11" s="1"/>
  <c r="C42" i="11" s="1"/>
  <c r="E53" i="10"/>
  <c r="E52" i="10"/>
  <c r="E51" i="10"/>
  <c r="E41" i="10"/>
  <c r="J13" i="11"/>
  <c r="J27" i="11"/>
  <c r="J42" i="11"/>
  <c r="E49" i="10"/>
  <c r="E48" i="10"/>
  <c r="E47" i="10"/>
  <c r="E37" i="10"/>
  <c r="F13" i="11"/>
  <c r="E43" i="10"/>
  <c r="L13" i="11"/>
  <c r="L42" i="11"/>
  <c r="L27" i="11"/>
  <c r="E42" i="10"/>
  <c r="K13" i="11"/>
  <c r="E39" i="10"/>
  <c r="H13" i="11"/>
  <c r="H27" i="11"/>
  <c r="B8" i="6"/>
  <c r="E38" i="10"/>
  <c r="E34" i="10"/>
  <c r="K34" i="10"/>
  <c r="J34" i="10"/>
  <c r="I34" i="10"/>
  <c r="S12" i="20"/>
  <c r="H34" i="10"/>
  <c r="R12" i="20"/>
  <c r="U12" i="20"/>
  <c r="G34" i="10"/>
  <c r="Q12" i="20"/>
  <c r="F34" i="10"/>
  <c r="P12" i="20"/>
  <c r="E33" i="10"/>
  <c r="E13" i="10"/>
  <c r="E23" i="10"/>
  <c r="M12" i="11"/>
  <c r="M41" i="11"/>
  <c r="E32" i="10"/>
  <c r="E31" i="10"/>
  <c r="E30" i="10"/>
  <c r="E29" i="10"/>
  <c r="E28" i="10"/>
  <c r="E27" i="10"/>
  <c r="E26" i="10"/>
  <c r="E25" i="10"/>
  <c r="E24" i="10"/>
  <c r="E22" i="10"/>
  <c r="E12" i="10"/>
  <c r="L12" i="11"/>
  <c r="L41" i="11" s="1"/>
  <c r="E21" i="10"/>
  <c r="E11" i="10"/>
  <c r="K12" i="11"/>
  <c r="K41" i="11" s="1"/>
  <c r="E20" i="10"/>
  <c r="E19" i="10"/>
  <c r="E18" i="10"/>
  <c r="E8" i="10"/>
  <c r="E17" i="10"/>
  <c r="E16" i="10"/>
  <c r="E15" i="10"/>
  <c r="E5" i="10"/>
  <c r="E12" i="11"/>
  <c r="E41" i="11" s="1"/>
  <c r="C41" i="11" s="1"/>
  <c r="E14" i="10"/>
  <c r="E10" i="10"/>
  <c r="J12" i="11"/>
  <c r="J41" i="11"/>
  <c r="E9" i="10"/>
  <c r="I12" i="11"/>
  <c r="I41" i="11"/>
  <c r="E7" i="10"/>
  <c r="G12" i="11"/>
  <c r="E6" i="10"/>
  <c r="F12" i="11"/>
  <c r="C12" i="11" s="1"/>
  <c r="F41" i="11"/>
  <c r="E4" i="10"/>
  <c r="D12" i="11"/>
  <c r="K3" i="10"/>
  <c r="J3" i="10"/>
  <c r="I3" i="10"/>
  <c r="S8" i="20"/>
  <c r="H3" i="10"/>
  <c r="R8" i="20"/>
  <c r="F3" i="10"/>
  <c r="P8" i="20"/>
  <c r="U8" i="20" s="1"/>
  <c r="G3" i="10"/>
  <c r="Q8" i="20"/>
  <c r="F11" i="11"/>
  <c r="G11" i="11"/>
  <c r="H11" i="11"/>
  <c r="M11" i="11"/>
  <c r="D11" i="11"/>
  <c r="D40" i="11" s="1"/>
  <c r="L11" i="11"/>
  <c r="L40" i="11" s="1"/>
  <c r="K11" i="11"/>
  <c r="K40" i="11" s="1"/>
  <c r="I11" i="11"/>
  <c r="I40" i="11" s="1"/>
  <c r="J150" i="9"/>
  <c r="S14" i="20" s="1"/>
  <c r="G150" i="9"/>
  <c r="P14" i="20"/>
  <c r="H150" i="9"/>
  <c r="Q14" i="20" s="1"/>
  <c r="I150" i="9"/>
  <c r="R14" i="20" s="1"/>
  <c r="T14" i="20"/>
  <c r="M14" i="11"/>
  <c r="L14" i="11"/>
  <c r="J14" i="11"/>
  <c r="O10" i="6" s="1"/>
  <c r="P10" i="6" s="1"/>
  <c r="K14" i="11"/>
  <c r="K43" i="11" s="1"/>
  <c r="H14" i="11"/>
  <c r="O8" i="6" s="1"/>
  <c r="P8" i="6" s="1"/>
  <c r="G14" i="11"/>
  <c r="G43" i="11" s="1"/>
  <c r="T13" i="20"/>
  <c r="J129" i="9"/>
  <c r="I129" i="9"/>
  <c r="R13" i="20"/>
  <c r="H129" i="9"/>
  <c r="Q13" i="20" s="1"/>
  <c r="E10" i="11"/>
  <c r="E39" i="11" s="1"/>
  <c r="D10" i="11"/>
  <c r="D39" i="11" s="1"/>
  <c r="E23" i="11"/>
  <c r="G23" i="11"/>
  <c r="E7" i="6"/>
  <c r="K23" i="11"/>
  <c r="D8" i="11"/>
  <c r="D37" i="11" s="1"/>
  <c r="T10" i="20"/>
  <c r="T9" i="20"/>
  <c r="J57" i="9"/>
  <c r="S11" i="20"/>
  <c r="H57" i="9"/>
  <c r="Q11" i="20" s="1"/>
  <c r="T11" i="20"/>
  <c r="G57" i="9"/>
  <c r="P11" i="20" s="1"/>
  <c r="M9" i="11"/>
  <c r="M38" i="11" s="1"/>
  <c r="F9" i="11"/>
  <c r="F38" i="11" s="1"/>
  <c r="L9" i="11"/>
  <c r="L38" i="11" s="1"/>
  <c r="I9" i="11"/>
  <c r="I38" i="11" s="1"/>
  <c r="H9" i="11"/>
  <c r="H38" i="11" s="1"/>
  <c r="K9" i="11"/>
  <c r="K38" i="11" s="1"/>
  <c r="G9" i="11"/>
  <c r="G38" i="11" s="1"/>
  <c r="J4" i="9"/>
  <c r="S7" i="20"/>
  <c r="E24" i="9"/>
  <c r="E23" i="9"/>
  <c r="E22" i="9"/>
  <c r="E12" i="9"/>
  <c r="K7" i="11"/>
  <c r="K36" i="11"/>
  <c r="E21" i="9"/>
  <c r="J7" i="11"/>
  <c r="J36" i="11" s="1"/>
  <c r="E20" i="9"/>
  <c r="E19" i="9"/>
  <c r="E18" i="9"/>
  <c r="E8" i="9"/>
  <c r="G7" i="11"/>
  <c r="G36" i="11" s="1"/>
  <c r="E17" i="9"/>
  <c r="E7" i="9"/>
  <c r="F7" i="11"/>
  <c r="F36" i="11"/>
  <c r="E16" i="9"/>
  <c r="E15" i="9"/>
  <c r="E14" i="9"/>
  <c r="M7" i="11"/>
  <c r="M36" i="11" s="1"/>
  <c r="E13" i="9"/>
  <c r="E11" i="9"/>
  <c r="E10" i="9"/>
  <c r="I7" i="11"/>
  <c r="I36" i="11"/>
  <c r="E9" i="9"/>
  <c r="G4" i="9"/>
  <c r="E3" i="18"/>
  <c r="E25" i="17"/>
  <c r="E4" i="17"/>
  <c r="E3" i="17"/>
  <c r="K25" i="11"/>
  <c r="K27" i="11"/>
  <c r="K28" i="11"/>
  <c r="B11" i="6"/>
  <c r="G25" i="11"/>
  <c r="H7" i="6"/>
  <c r="G27" i="11"/>
  <c r="B7" i="6"/>
  <c r="M27" i="11"/>
  <c r="B13" i="6"/>
  <c r="F27" i="11"/>
  <c r="B6" i="6"/>
  <c r="D27" i="11"/>
  <c r="E27" i="11"/>
  <c r="M25" i="11"/>
  <c r="H13" i="6"/>
  <c r="M23" i="11"/>
  <c r="L25" i="11"/>
  <c r="H12" i="6"/>
  <c r="L23" i="11"/>
  <c r="J25" i="11"/>
  <c r="H10" i="6"/>
  <c r="I25" i="11"/>
  <c r="H9" i="6"/>
  <c r="I23" i="11"/>
  <c r="E9" i="6"/>
  <c r="H25" i="11"/>
  <c r="H8" i="6"/>
  <c r="H23" i="11"/>
  <c r="F25" i="11"/>
  <c r="H6" i="6"/>
  <c r="F23" i="11"/>
  <c r="E25" i="11"/>
  <c r="H5" i="6"/>
  <c r="D25" i="11"/>
  <c r="D23" i="11"/>
  <c r="J23" i="11"/>
  <c r="F14" i="11"/>
  <c r="F43" i="11" s="1"/>
  <c r="G13" i="11"/>
  <c r="G42" i="11"/>
  <c r="G41" i="11"/>
  <c r="J11" i="11"/>
  <c r="L10" i="6" s="1"/>
  <c r="M10" i="6" s="1"/>
  <c r="J9" i="11"/>
  <c r="J38" i="11" s="1"/>
  <c r="L7" i="11"/>
  <c r="L36" i="11"/>
  <c r="H7" i="11"/>
  <c r="AX116" i="3"/>
  <c r="H116" i="3"/>
  <c r="K116" i="3"/>
  <c r="AW116" i="3"/>
  <c r="G116" i="3"/>
  <c r="I116" i="3"/>
  <c r="J116" i="3"/>
  <c r="M116" i="3"/>
  <c r="V116" i="3"/>
  <c r="AX115" i="3"/>
  <c r="AW115" i="3"/>
  <c r="AY115" i="3"/>
  <c r="H115" i="3"/>
  <c r="K115" i="3"/>
  <c r="N115" i="3"/>
  <c r="E115" i="3"/>
  <c r="R12" i="6"/>
  <c r="J115" i="3"/>
  <c r="AX114" i="3"/>
  <c r="H114" i="3"/>
  <c r="K114" i="3"/>
  <c r="N114" i="3"/>
  <c r="AX113" i="3"/>
  <c r="H113" i="3"/>
  <c r="K113" i="3"/>
  <c r="N113" i="3"/>
  <c r="AW113" i="3"/>
  <c r="G113" i="3"/>
  <c r="J113" i="3"/>
  <c r="M113" i="3"/>
  <c r="V113" i="3"/>
  <c r="AX112" i="3"/>
  <c r="H112" i="3"/>
  <c r="K112" i="3"/>
  <c r="AW112" i="3"/>
  <c r="G112" i="3"/>
  <c r="J112" i="3"/>
  <c r="M112" i="3"/>
  <c r="D112" i="3"/>
  <c r="Q9" i="6"/>
  <c r="T9" i="6"/>
  <c r="V112" i="3"/>
  <c r="AX111" i="3"/>
  <c r="H111" i="3"/>
  <c r="K111" i="3"/>
  <c r="N111" i="3"/>
  <c r="AW111" i="3"/>
  <c r="G111" i="3"/>
  <c r="J111" i="3"/>
  <c r="V111" i="3"/>
  <c r="AX110" i="3"/>
  <c r="H110" i="3"/>
  <c r="K110" i="3"/>
  <c r="AW110" i="3"/>
  <c r="G110" i="3"/>
  <c r="J110" i="3"/>
  <c r="M110" i="3"/>
  <c r="V110" i="3"/>
  <c r="AX109" i="3"/>
  <c r="H109" i="3"/>
  <c r="K109" i="3"/>
  <c r="N109" i="3"/>
  <c r="AW109" i="3"/>
  <c r="G109" i="3"/>
  <c r="J109" i="3"/>
  <c r="M109" i="3"/>
  <c r="D109" i="3"/>
  <c r="Q6" i="6"/>
  <c r="T6" i="6"/>
  <c r="V109" i="3"/>
  <c r="D118" i="14"/>
  <c r="D116" i="14"/>
  <c r="D114" i="14"/>
  <c r="D9" i="14"/>
  <c r="D112" i="14"/>
  <c r="D111" i="14"/>
  <c r="D76" i="14"/>
  <c r="D110" i="14"/>
  <c r="D109" i="14"/>
  <c r="I25" i="3"/>
  <c r="AY24" i="3"/>
  <c r="I24" i="3"/>
  <c r="L24" i="3"/>
  <c r="O24" i="3"/>
  <c r="X24" i="3"/>
  <c r="G115" i="3"/>
  <c r="AW114" i="3"/>
  <c r="G114" i="3"/>
  <c r="J114" i="3"/>
  <c r="M114" i="3"/>
  <c r="V114" i="3"/>
  <c r="L23" i="3"/>
  <c r="I23" i="3"/>
  <c r="AY22" i="3"/>
  <c r="I22" i="3"/>
  <c r="L22" i="3"/>
  <c r="O22" i="3"/>
  <c r="X22" i="3"/>
  <c r="AY21" i="3"/>
  <c r="I21" i="3"/>
  <c r="L21" i="3"/>
  <c r="O21" i="3"/>
  <c r="X21" i="3"/>
  <c r="O20" i="3"/>
  <c r="L20" i="3"/>
  <c r="I20" i="3"/>
  <c r="L19" i="3"/>
  <c r="I19" i="3"/>
  <c r="AW108" i="3"/>
  <c r="G108" i="3"/>
  <c r="J108" i="3"/>
  <c r="M108" i="3"/>
  <c r="H108" i="3"/>
  <c r="AW107" i="3"/>
  <c r="G107" i="3"/>
  <c r="I107" i="3"/>
  <c r="J107" i="3"/>
  <c r="M107" i="3"/>
  <c r="V107" i="3"/>
  <c r="O16" i="3"/>
  <c r="L16" i="3"/>
  <c r="K107" i="3"/>
  <c r="H107" i="3"/>
  <c r="I16" i="3"/>
  <c r="N14" i="6"/>
  <c r="K14" i="6"/>
  <c r="E13" i="6"/>
  <c r="E12" i="6"/>
  <c r="B12" i="6"/>
  <c r="E11" i="6"/>
  <c r="E10" i="6"/>
  <c r="B10" i="6"/>
  <c r="B9" i="6"/>
  <c r="E8" i="6"/>
  <c r="O6" i="6"/>
  <c r="P6" i="6" s="1"/>
  <c r="W5" i="6"/>
  <c r="E5" i="6"/>
  <c r="E4" i="6"/>
  <c r="E6" i="6"/>
  <c r="E14" i="6"/>
  <c r="B5" i="6"/>
  <c r="W4" i="6"/>
  <c r="H14" i="4"/>
  <c r="F14" i="4"/>
  <c r="E14" i="4"/>
  <c r="G13" i="4"/>
  <c r="G12" i="4"/>
  <c r="G11" i="4"/>
  <c r="G10" i="4"/>
  <c r="G9" i="4"/>
  <c r="G8" i="4"/>
  <c r="G7" i="4"/>
  <c r="G6" i="4"/>
  <c r="G5" i="4"/>
  <c r="G4" i="4"/>
  <c r="G14" i="4"/>
  <c r="U18" i="20"/>
  <c r="H14" i="20"/>
  <c r="G14" i="20"/>
  <c r="D14" i="20"/>
  <c r="E14" i="20"/>
  <c r="F14" i="20"/>
  <c r="I14" i="20"/>
  <c r="S13" i="20"/>
  <c r="H13" i="20"/>
  <c r="G13" i="20"/>
  <c r="F13" i="20"/>
  <c r="E13" i="20"/>
  <c r="G12" i="20"/>
  <c r="D12" i="20"/>
  <c r="E12" i="20"/>
  <c r="I12" i="20" s="1"/>
  <c r="F12" i="20"/>
  <c r="H11" i="20"/>
  <c r="G11" i="20"/>
  <c r="D11" i="20"/>
  <c r="H10" i="20"/>
  <c r="H9" i="20"/>
  <c r="G8" i="20"/>
  <c r="F8" i="20"/>
  <c r="E8" i="20"/>
  <c r="D8" i="20"/>
  <c r="I8" i="20" s="1"/>
  <c r="H7" i="20"/>
  <c r="G7" i="20"/>
  <c r="D7" i="20"/>
  <c r="H6" i="20"/>
  <c r="H5" i="20" s="1"/>
  <c r="H3" i="20" s="1"/>
  <c r="G2" i="20"/>
  <c r="S2" i="20"/>
  <c r="R2" i="20"/>
  <c r="Q2" i="20"/>
  <c r="D2" i="20"/>
  <c r="P2" i="20"/>
  <c r="AX107" i="3"/>
  <c r="N107" i="3"/>
  <c r="T107" i="3"/>
  <c r="E107" i="3"/>
  <c r="R4" i="6"/>
  <c r="W107" i="3"/>
  <c r="Z107" i="3"/>
  <c r="AY16" i="3"/>
  <c r="U16" i="3"/>
  <c r="AA16" i="3"/>
  <c r="X16" i="3"/>
  <c r="L18" i="3"/>
  <c r="AX108" i="3"/>
  <c r="AY108" i="3"/>
  <c r="K108" i="3"/>
  <c r="N108" i="3"/>
  <c r="O108" i="3"/>
  <c r="W108" i="3"/>
  <c r="Z108" i="3"/>
  <c r="AY17" i="3"/>
  <c r="I17" i="3"/>
  <c r="L17" i="3"/>
  <c r="O17" i="3"/>
  <c r="AA17" i="3"/>
  <c r="X17" i="3"/>
  <c r="AY18" i="3"/>
  <c r="I18" i="3"/>
  <c r="O18" i="3"/>
  <c r="X18" i="3"/>
  <c r="AY19" i="3"/>
  <c r="O19" i="3"/>
  <c r="X19" i="3"/>
  <c r="AY20" i="3"/>
  <c r="X20" i="3"/>
  <c r="AY23" i="3"/>
  <c r="O23" i="3"/>
  <c r="X23" i="3"/>
  <c r="L25" i="3"/>
  <c r="AY25" i="3"/>
  <c r="O25" i="3"/>
  <c r="X25" i="3"/>
  <c r="H36" i="11"/>
  <c r="P7" i="20"/>
  <c r="T7" i="20"/>
  <c r="AY109" i="3"/>
  <c r="H42" i="11"/>
  <c r="K42" i="11"/>
  <c r="B4" i="6"/>
  <c r="F28" i="11"/>
  <c r="H11" i="6"/>
  <c r="H4" i="6"/>
  <c r="C27" i="11"/>
  <c r="M42" i="11"/>
  <c r="T6" i="20"/>
  <c r="T5" i="20"/>
  <c r="T3" i="20" s="1"/>
  <c r="E42" i="11"/>
  <c r="D28" i="11"/>
  <c r="E11" i="11"/>
  <c r="L5" i="6" s="1"/>
  <c r="B14" i="6"/>
  <c r="F42" i="11"/>
  <c r="H12" i="11"/>
  <c r="E3" i="10"/>
  <c r="C23" i="11"/>
  <c r="G15" i="4"/>
  <c r="I18" i="20"/>
  <c r="I14" i="11"/>
  <c r="I43" i="11" s="1"/>
  <c r="H41" i="11"/>
  <c r="F20" i="3"/>
  <c r="F24" i="3"/>
  <c r="D110" i="3"/>
  <c r="Q7" i="6"/>
  <c r="T7" i="6"/>
  <c r="D116" i="3"/>
  <c r="Q13" i="6"/>
  <c r="T13" i="6"/>
  <c r="F18" i="3"/>
  <c r="F22" i="3"/>
  <c r="D113" i="3"/>
  <c r="Q10" i="6"/>
  <c r="F19" i="3"/>
  <c r="F23" i="3"/>
  <c r="E109" i="3"/>
  <c r="R6" i="6"/>
  <c r="E113" i="3"/>
  <c r="R10" i="6"/>
  <c r="F16" i="3"/>
  <c r="D108" i="3"/>
  <c r="Q5" i="6"/>
  <c r="T5" i="6"/>
  <c r="F17" i="3"/>
  <c r="F21" i="3"/>
  <c r="F25" i="3"/>
  <c r="AD114" i="3"/>
  <c r="K4" i="4"/>
  <c r="K8" i="4"/>
  <c r="K12" i="4"/>
  <c r="AD111" i="3"/>
  <c r="AD113" i="3"/>
  <c r="K5" i="4"/>
  <c r="K9" i="4"/>
  <c r="K13" i="4"/>
  <c r="K6" i="4"/>
  <c r="K10" i="4"/>
  <c r="I114" i="3"/>
  <c r="K7" i="4"/>
  <c r="K11" i="4"/>
  <c r="E28" i="11"/>
  <c r="L28" i="11"/>
  <c r="J28" i="11"/>
  <c r="I28" i="11"/>
  <c r="D39" i="14"/>
  <c r="D40" i="14"/>
  <c r="D42" i="14"/>
  <c r="D43" i="14"/>
  <c r="D45" i="14"/>
  <c r="D46" i="14"/>
  <c r="G28" i="11"/>
  <c r="M28" i="11"/>
  <c r="H14" i="6"/>
  <c r="H28" i="11"/>
  <c r="C25" i="11"/>
  <c r="C28" i="11"/>
  <c r="AY116" i="3"/>
  <c r="AY107" i="3"/>
  <c r="AY111" i="3"/>
  <c r="AY112" i="3"/>
  <c r="AY113" i="3"/>
  <c r="AY114" i="3"/>
  <c r="AY110" i="3"/>
  <c r="X107" i="3"/>
  <c r="L111" i="3"/>
  <c r="AD115" i="3"/>
  <c r="I115" i="3"/>
  <c r="L115" i="3"/>
  <c r="R115" i="3"/>
  <c r="AA115" i="3"/>
  <c r="X115" i="3"/>
  <c r="AA111" i="3"/>
  <c r="AD108" i="3"/>
  <c r="AD110" i="3"/>
  <c r="X111" i="3"/>
  <c r="AD107" i="3"/>
  <c r="AD109" i="3"/>
  <c r="AD112" i="3"/>
  <c r="AD116" i="3"/>
  <c r="R113" i="3"/>
  <c r="X109" i="3"/>
  <c r="X108" i="3"/>
  <c r="I108" i="3"/>
  <c r="AA109" i="3"/>
  <c r="AA113" i="3"/>
  <c r="AA108" i="3"/>
  <c r="AA107" i="3"/>
  <c r="X116" i="3"/>
  <c r="R107" i="3"/>
  <c r="R108" i="3"/>
  <c r="L112" i="3"/>
  <c r="D41" i="14"/>
  <c r="L108" i="3"/>
  <c r="L116" i="3"/>
  <c r="L109" i="3"/>
  <c r="L107" i="3"/>
  <c r="D6" i="14"/>
  <c r="I109" i="3"/>
  <c r="I110" i="3"/>
  <c r="D117" i="14"/>
  <c r="D113" i="14"/>
  <c r="D115" i="14"/>
  <c r="AA110" i="3"/>
  <c r="AA112" i="3"/>
  <c r="AA114" i="3"/>
  <c r="AA116" i="3"/>
  <c r="X110" i="3"/>
  <c r="X114" i="3"/>
  <c r="X113" i="3"/>
  <c r="X112" i="3"/>
  <c r="U109" i="3"/>
  <c r="U113" i="3"/>
  <c r="U112" i="3"/>
  <c r="U116" i="3"/>
  <c r="R110" i="3"/>
  <c r="R112" i="3"/>
  <c r="R114" i="3"/>
  <c r="R116" i="3"/>
  <c r="R109" i="3"/>
  <c r="R111" i="3"/>
  <c r="O113" i="3"/>
  <c r="D81" i="14"/>
  <c r="O114" i="3"/>
  <c r="D80" i="14"/>
  <c r="L110" i="3"/>
  <c r="D44" i="14"/>
  <c r="D48" i="14"/>
  <c r="D47" i="14"/>
  <c r="L114" i="3"/>
  <c r="L113" i="3"/>
  <c r="D8" i="14"/>
  <c r="D12" i="14"/>
  <c r="D13" i="14"/>
  <c r="D5" i="14"/>
  <c r="D10" i="14"/>
  <c r="D7" i="14"/>
  <c r="D11" i="14"/>
  <c r="I111" i="3"/>
  <c r="D4" i="14"/>
  <c r="I113" i="3"/>
  <c r="I112" i="3"/>
  <c r="F113" i="3"/>
  <c r="K14" i="4"/>
  <c r="S22" i="20"/>
  <c r="R22" i="20"/>
  <c r="S4" i="20"/>
  <c r="S17" i="20"/>
  <c r="S16" i="20"/>
  <c r="G4" i="20"/>
  <c r="G17" i="20"/>
  <c r="G16" i="20"/>
  <c r="E17" i="20"/>
  <c r="E16" i="20"/>
  <c r="E4" i="20"/>
  <c r="Q17" i="20"/>
  <c r="Q16" i="20"/>
  <c r="Q4" i="20"/>
  <c r="P17" i="20"/>
  <c r="D17" i="20"/>
  <c r="D16" i="20"/>
  <c r="P16" i="20"/>
  <c r="B6" i="2"/>
  <c r="O119" i="3"/>
  <c r="U6" i="3"/>
  <c r="U7" i="3"/>
  <c r="U117" i="3"/>
  <c r="E89" i="3"/>
  <c r="U124" i="3"/>
  <c r="O109" i="3"/>
  <c r="F109" i="3"/>
  <c r="T108" i="3"/>
  <c r="U108" i="3"/>
  <c r="O14" i="3"/>
  <c r="F14" i="3"/>
  <c r="S67" i="3"/>
  <c r="D117" i="3"/>
  <c r="B4" i="4"/>
  <c r="U123" i="3"/>
  <c r="D13" i="3"/>
  <c r="D87" i="14"/>
  <c r="F10" i="3"/>
  <c r="D69" i="3"/>
  <c r="S74" i="3"/>
  <c r="S87" i="3"/>
  <c r="U93" i="3"/>
  <c r="S126" i="3"/>
  <c r="U126" i="3"/>
  <c r="F6" i="3"/>
  <c r="S84" i="3"/>
  <c r="D123" i="3"/>
  <c r="B10" i="4"/>
  <c r="Q10" i="4"/>
  <c r="E111" i="3"/>
  <c r="R8" i="6"/>
  <c r="S114" i="3"/>
  <c r="D114" i="3"/>
  <c r="Q11" i="6"/>
  <c r="T11" i="6"/>
  <c r="D67" i="3"/>
  <c r="M75" i="3"/>
  <c r="D75" i="3"/>
  <c r="T88" i="3"/>
  <c r="U88" i="3"/>
  <c r="S94" i="3"/>
  <c r="U94" i="3"/>
  <c r="S118" i="3"/>
  <c r="D118" i="3"/>
  <c r="B5" i="4"/>
  <c r="Q5" i="4"/>
  <c r="D122" i="3"/>
  <c r="B9" i="4"/>
  <c r="Q9" i="4"/>
  <c r="F108" i="3"/>
  <c r="S6" i="6"/>
  <c r="S107" i="3"/>
  <c r="U107" i="3"/>
  <c r="N110" i="3"/>
  <c r="U114" i="3"/>
  <c r="F114" i="3"/>
  <c r="D74" i="3"/>
  <c r="D121" i="3"/>
  <c r="B8" i="4"/>
  <c r="Q8" i="4"/>
  <c r="M115" i="3"/>
  <c r="D115" i="3"/>
  <c r="Q12" i="6"/>
  <c r="E9" i="3"/>
  <c r="N90" i="3"/>
  <c r="D77" i="14"/>
  <c r="F45" i="3"/>
  <c r="D83" i="3"/>
  <c r="N10" i="4"/>
  <c r="T10" i="4"/>
  <c r="I88" i="3"/>
  <c r="F37" i="3"/>
  <c r="F36" i="3"/>
  <c r="D4" i="20"/>
  <c r="P4" i="20"/>
  <c r="D107" i="3"/>
  <c r="Q4" i="6"/>
  <c r="T4" i="6"/>
  <c r="T12" i="6"/>
  <c r="S12" i="6"/>
  <c r="Q4" i="4"/>
  <c r="F119" i="3"/>
  <c r="D74" i="14"/>
  <c r="E118" i="3"/>
  <c r="C5" i="4"/>
  <c r="O118" i="3"/>
  <c r="E124" i="3"/>
  <c r="C11" i="4"/>
  <c r="B12" i="2"/>
  <c r="S10" i="6"/>
  <c r="T10" i="6"/>
  <c r="B10" i="2"/>
  <c r="E126" i="3"/>
  <c r="C13" i="4"/>
  <c r="O126" i="3"/>
  <c r="B5" i="2"/>
  <c r="B9" i="2"/>
  <c r="E123" i="3"/>
  <c r="C10" i="4"/>
  <c r="O123" i="3"/>
  <c r="O125" i="3"/>
  <c r="F125" i="3"/>
  <c r="E125" i="3"/>
  <c r="C12" i="4"/>
  <c r="E122" i="3"/>
  <c r="C9" i="4"/>
  <c r="O122" i="3"/>
  <c r="F122" i="3"/>
  <c r="O107" i="3"/>
  <c r="D6" i="3"/>
  <c r="D10" i="3"/>
  <c r="D14" i="3"/>
  <c r="U90" i="3"/>
  <c r="N92" i="3"/>
  <c r="E92" i="3"/>
  <c r="M95" i="3"/>
  <c r="D95" i="3"/>
  <c r="N117" i="3"/>
  <c r="M120" i="3"/>
  <c r="N121" i="3"/>
  <c r="M124" i="3"/>
  <c r="D124" i="3"/>
  <c r="B11" i="4"/>
  <c r="Q11" i="4"/>
  <c r="B11" i="2"/>
  <c r="N116" i="3"/>
  <c r="O7" i="3"/>
  <c r="F7" i="3"/>
  <c r="O11" i="3"/>
  <c r="F11" i="3"/>
  <c r="O15" i="3"/>
  <c r="F15" i="3"/>
  <c r="D82" i="3"/>
  <c r="N9" i="4"/>
  <c r="T9" i="4"/>
  <c r="E9" i="2"/>
  <c r="E108" i="3"/>
  <c r="R5" i="6"/>
  <c r="S5" i="6"/>
  <c r="M81" i="3"/>
  <c r="D81" i="3"/>
  <c r="N8" i="4"/>
  <c r="T8" i="4"/>
  <c r="N88" i="3"/>
  <c r="O115" i="3"/>
  <c r="F115" i="3"/>
  <c r="E114" i="3"/>
  <c r="R11" i="6"/>
  <c r="S11" i="6"/>
  <c r="N112" i="3"/>
  <c r="E7" i="3"/>
  <c r="E11" i="3"/>
  <c r="E15" i="3"/>
  <c r="M80" i="3"/>
  <c r="D80" i="3"/>
  <c r="N7" i="4"/>
  <c r="M91" i="3"/>
  <c r="D91" i="3"/>
  <c r="E119" i="3"/>
  <c r="C6" i="4"/>
  <c r="O9" i="3"/>
  <c r="F9" i="3"/>
  <c r="O13" i="3"/>
  <c r="F13" i="3"/>
  <c r="M87" i="3"/>
  <c r="D87" i="3"/>
  <c r="M94" i="3"/>
  <c r="U96" i="3"/>
  <c r="N96" i="3"/>
  <c r="M111" i="3"/>
  <c r="D85" i="14"/>
  <c r="D89" i="14"/>
  <c r="D93" i="14"/>
  <c r="M77" i="3"/>
  <c r="D77" i="3"/>
  <c r="N4" i="4"/>
  <c r="T4" i="4"/>
  <c r="M85" i="3"/>
  <c r="D85" i="3"/>
  <c r="N12" i="4"/>
  <c r="T12" i="4"/>
  <c r="E12" i="2"/>
  <c r="U87" i="3"/>
  <c r="U92" i="3"/>
  <c r="F38" i="3"/>
  <c r="F44" i="3"/>
  <c r="E87" i="3"/>
  <c r="U89" i="3"/>
  <c r="F89" i="3"/>
  <c r="E93" i="3"/>
  <c r="D79" i="3"/>
  <c r="N6" i="4"/>
  <c r="T6" i="4"/>
  <c r="E6" i="2"/>
  <c r="F40" i="3"/>
  <c r="D78" i="3"/>
  <c r="N5" i="4"/>
  <c r="T5" i="4"/>
  <c r="E5" i="2"/>
  <c r="D86" i="3"/>
  <c r="N13" i="4"/>
  <c r="T13" i="4"/>
  <c r="E13" i="2"/>
  <c r="D96" i="3"/>
  <c r="F41" i="3"/>
  <c r="F42" i="3"/>
  <c r="D84" i="3"/>
  <c r="N11" i="4"/>
  <c r="T11" i="4"/>
  <c r="E11" i="2"/>
  <c r="D90" i="3"/>
  <c r="D93" i="3"/>
  <c r="O90" i="3"/>
  <c r="E91" i="3"/>
  <c r="E95" i="3"/>
  <c r="E90" i="3"/>
  <c r="O93" i="3"/>
  <c r="F93" i="3"/>
  <c r="E94" i="3"/>
  <c r="D82" i="14"/>
  <c r="D78" i="14"/>
  <c r="O91" i="3"/>
  <c r="F91" i="3"/>
  <c r="E110" i="3"/>
  <c r="R7" i="6"/>
  <c r="S7" i="6"/>
  <c r="O110" i="3"/>
  <c r="F110" i="3"/>
  <c r="S4" i="6"/>
  <c r="D126" i="3"/>
  <c r="B13" i="4"/>
  <c r="Q13" i="4"/>
  <c r="B13" i="2"/>
  <c r="F126" i="3"/>
  <c r="Q22" i="20"/>
  <c r="D94" i="3"/>
  <c r="O87" i="3"/>
  <c r="F87" i="3"/>
  <c r="O95" i="3"/>
  <c r="F95" i="3"/>
  <c r="F123" i="3"/>
  <c r="E10" i="2"/>
  <c r="U118" i="3"/>
  <c r="F118" i="3"/>
  <c r="T7" i="4"/>
  <c r="E7" i="2"/>
  <c r="N14" i="4"/>
  <c r="O116" i="3"/>
  <c r="F116" i="3"/>
  <c r="E116" i="3"/>
  <c r="R13" i="6"/>
  <c r="S13" i="6"/>
  <c r="O121" i="3"/>
  <c r="F121" i="3"/>
  <c r="E121" i="3"/>
  <c r="C8" i="4"/>
  <c r="R9" i="4"/>
  <c r="S9" i="4"/>
  <c r="D9" i="4"/>
  <c r="B4" i="2"/>
  <c r="O120" i="3"/>
  <c r="F120" i="3"/>
  <c r="D120" i="3"/>
  <c r="B7" i="4"/>
  <c r="R11" i="4"/>
  <c r="S11" i="4"/>
  <c r="D11" i="4"/>
  <c r="O94" i="3"/>
  <c r="F94" i="3"/>
  <c r="O112" i="3"/>
  <c r="F112" i="3"/>
  <c r="E112" i="3"/>
  <c r="R9" i="6"/>
  <c r="S9" i="6"/>
  <c r="O117" i="3"/>
  <c r="E117" i="3"/>
  <c r="C4" i="4"/>
  <c r="R12" i="4"/>
  <c r="S12" i="4"/>
  <c r="D12" i="4"/>
  <c r="O124" i="3"/>
  <c r="F124" i="3"/>
  <c r="D6" i="4"/>
  <c r="R6" i="4"/>
  <c r="S6" i="4"/>
  <c r="R13" i="4"/>
  <c r="D13" i="4"/>
  <c r="F90" i="3"/>
  <c r="D111" i="3"/>
  <c r="Q8" i="6"/>
  <c r="O111" i="3"/>
  <c r="F111" i="3"/>
  <c r="F107" i="3"/>
  <c r="R5" i="4"/>
  <c r="S5" i="4"/>
  <c r="D5" i="4"/>
  <c r="O96" i="3"/>
  <c r="F96" i="3"/>
  <c r="D83" i="14"/>
  <c r="E96" i="3"/>
  <c r="O88" i="3"/>
  <c r="F88" i="3"/>
  <c r="E88" i="3"/>
  <c r="D75" i="14"/>
  <c r="O92" i="3"/>
  <c r="F92" i="3"/>
  <c r="D79" i="14"/>
  <c r="D10" i="4"/>
  <c r="R10" i="4"/>
  <c r="S10" i="4"/>
  <c r="E4" i="2"/>
  <c r="S13" i="4"/>
  <c r="F4" i="20"/>
  <c r="T14" i="4"/>
  <c r="I4" i="20"/>
  <c r="F17" i="20"/>
  <c r="F117" i="3"/>
  <c r="R17" i="20"/>
  <c r="Q7" i="4"/>
  <c r="D7" i="4"/>
  <c r="B14" i="4"/>
  <c r="P22" i="20"/>
  <c r="U22" i="20"/>
  <c r="R4" i="20"/>
  <c r="T8" i="6"/>
  <c r="S8" i="6"/>
  <c r="Q14" i="6"/>
  <c r="D4" i="4"/>
  <c r="R4" i="4"/>
  <c r="C14" i="4"/>
  <c r="R14" i="6"/>
  <c r="R8" i="4"/>
  <c r="S8" i="4"/>
  <c r="D8" i="4"/>
  <c r="R16" i="20"/>
  <c r="U16" i="20"/>
  <c r="U17" i="20"/>
  <c r="B8" i="2"/>
  <c r="E8" i="2"/>
  <c r="E14" i="2"/>
  <c r="T14" i="6"/>
  <c r="B7" i="2"/>
  <c r="R14" i="4"/>
  <c r="S4" i="4"/>
  <c r="D14" i="4"/>
  <c r="D15" i="4"/>
  <c r="B14" i="2"/>
  <c r="S7" i="4"/>
  <c r="Q14" i="4"/>
  <c r="F16" i="20"/>
  <c r="I16" i="20"/>
  <c r="I17" i="20"/>
  <c r="U4" i="20"/>
  <c r="S14" i="6"/>
  <c r="S15" i="6"/>
  <c r="S15" i="4"/>
  <c r="S14" i="4"/>
  <c r="AJ12" i="19"/>
  <c r="L43" i="11"/>
  <c r="O12" i="6"/>
  <c r="P12" i="6"/>
  <c r="L8" i="6"/>
  <c r="M8" i="6" s="1"/>
  <c r="H40" i="11"/>
  <c r="M43" i="11"/>
  <c r="O13" i="6"/>
  <c r="P13" i="6" s="1"/>
  <c r="G40" i="11"/>
  <c r="L7" i="6"/>
  <c r="M7" i="6" s="1"/>
  <c r="L4" i="6"/>
  <c r="M4" i="6" s="1"/>
  <c r="F40" i="11"/>
  <c r="L6" i="6"/>
  <c r="M6" i="6" s="1"/>
  <c r="M40" i="11"/>
  <c r="L13" i="6"/>
  <c r="M13" i="6" s="1"/>
  <c r="E150" i="9"/>
  <c r="J43" i="11"/>
  <c r="D41" i="11"/>
  <c r="AJ30" i="19"/>
  <c r="AH45" i="19"/>
  <c r="AJ42" i="19"/>
  <c r="AJ41" i="19"/>
  <c r="AH55" i="19"/>
  <c r="AH56" i="19"/>
  <c r="AJ38" i="19"/>
  <c r="AJ46" i="19"/>
  <c r="AJ31" i="19"/>
  <c r="AJ48" i="19"/>
  <c r="AJ52" i="19"/>
  <c r="AJ64" i="19"/>
  <c r="AJ35" i="19"/>
  <c r="AJ57" i="19"/>
  <c r="AJ32" i="19"/>
  <c r="AK10" i="19"/>
  <c r="AJ23" i="19"/>
  <c r="AJ40" i="19"/>
  <c r="AH51" i="19"/>
  <c r="AH61" i="19"/>
  <c r="AJ60" i="19"/>
  <c r="AH27" i="19"/>
  <c r="AH59" i="19"/>
  <c r="AJ25" i="19"/>
  <c r="AH14" i="19"/>
  <c r="AH65" i="19"/>
  <c r="AJ36" i="19"/>
  <c r="AH37" i="19"/>
  <c r="AH47" i="19"/>
  <c r="AH63" i="19"/>
  <c r="AJ53" i="19"/>
  <c r="AJ16" i="19"/>
  <c r="AJ33" i="19"/>
  <c r="AJ21" i="19"/>
  <c r="AJ43" i="19"/>
  <c r="F8" i="11"/>
  <c r="AL14" i="19"/>
  <c r="AM14" i="19"/>
  <c r="AK12" i="19"/>
  <c r="AL15" i="19"/>
  <c r="AM15" i="19"/>
  <c r="D6" i="20"/>
  <c r="G6" i="20"/>
  <c r="B71" i="19"/>
  <c r="AK11" i="19"/>
  <c r="F6" i="20"/>
  <c r="AH68" i="19"/>
  <c r="F141" i="9" s="1"/>
  <c r="E141" i="9" s="1"/>
  <c r="F7" i="20"/>
  <c r="I4" i="9"/>
  <c r="R7" i="20" s="1"/>
  <c r="E5" i="9"/>
  <c r="D7" i="11" s="1"/>
  <c r="G25" i="9"/>
  <c r="J25" i="9"/>
  <c r="S6" i="20" s="1"/>
  <c r="E9" i="11"/>
  <c r="H25" i="9"/>
  <c r="E6" i="20"/>
  <c r="I25" i="9"/>
  <c r="E8" i="11"/>
  <c r="E37" i="11" s="1"/>
  <c r="G129" i="9"/>
  <c r="P13" i="20" s="1"/>
  <c r="U7" i="20" l="1"/>
  <c r="AH69" i="19"/>
  <c r="F26" i="9"/>
  <c r="F130" i="9"/>
  <c r="F131" i="9"/>
  <c r="E131" i="9" s="1"/>
  <c r="E14" i="11" s="1"/>
  <c r="O5" i="6" s="1"/>
  <c r="P5" i="6" s="1"/>
  <c r="L9" i="6"/>
  <c r="M9" i="6" s="1"/>
  <c r="E40" i="11"/>
  <c r="L12" i="6"/>
  <c r="M12" i="6" s="1"/>
  <c r="H43" i="11"/>
  <c r="O7" i="6"/>
  <c r="P7" i="6" s="1"/>
  <c r="O11" i="6"/>
  <c r="P11" i="6" s="1"/>
  <c r="U13" i="20"/>
  <c r="U14" i="20"/>
  <c r="I62" i="9"/>
  <c r="F37" i="11"/>
  <c r="M5" i="6"/>
  <c r="E43" i="11"/>
  <c r="D5" i="20"/>
  <c r="C13" i="11"/>
  <c r="H3" i="9"/>
  <c r="H108" i="9"/>
  <c r="G5" i="20"/>
  <c r="E7" i="20"/>
  <c r="I7" i="20" s="1"/>
  <c r="C11" i="11"/>
  <c r="C13" i="6"/>
  <c r="D13" i="6" s="1"/>
  <c r="J40" i="11"/>
  <c r="D36" i="11"/>
  <c r="D13" i="20"/>
  <c r="I13" i="20" s="1"/>
  <c r="S5" i="20"/>
  <c r="O9" i="6"/>
  <c r="P9" i="6" s="1"/>
  <c r="F5" i="20"/>
  <c r="E6" i="9"/>
  <c r="L11" i="6"/>
  <c r="M11" i="6" s="1"/>
  <c r="G3" i="9"/>
  <c r="I102" i="9"/>
  <c r="H84" i="9"/>
  <c r="J103" i="9"/>
  <c r="J108" i="9"/>
  <c r="J84" i="9"/>
  <c r="J105" i="9"/>
  <c r="J81" i="9"/>
  <c r="J82" i="9"/>
  <c r="J104" i="9"/>
  <c r="J85" i="9"/>
  <c r="J87" i="9"/>
  <c r="J83" i="9"/>
  <c r="J88" i="9"/>
  <c r="J107" i="9"/>
  <c r="J101" i="9"/>
  <c r="J86" i="9"/>
  <c r="J106" i="9"/>
  <c r="J102" i="9"/>
  <c r="J3" i="9"/>
  <c r="H107" i="9"/>
  <c r="H83" i="9"/>
  <c r="AR72" i="3"/>
  <c r="AS72" i="3" s="1"/>
  <c r="AR102" i="3" s="1"/>
  <c r="AS102" i="3" s="1"/>
  <c r="I3" i="9"/>
  <c r="I107" i="9"/>
  <c r="I106" i="9"/>
  <c r="I103" i="9"/>
  <c r="I105" i="9"/>
  <c r="R6" i="20"/>
  <c r="R5" i="20" s="1"/>
  <c r="I108" i="9"/>
  <c r="I104" i="9"/>
  <c r="I101" i="9"/>
  <c r="H105" i="9"/>
  <c r="H101" i="9"/>
  <c r="H87" i="9"/>
  <c r="H88" i="9"/>
  <c r="H102" i="9"/>
  <c r="H106" i="9"/>
  <c r="H86" i="9"/>
  <c r="H85" i="9"/>
  <c r="H82" i="9"/>
  <c r="H104" i="9"/>
  <c r="H103" i="9"/>
  <c r="Q6" i="20"/>
  <c r="Q5" i="20" s="1"/>
  <c r="H81" i="9"/>
  <c r="E38" i="11"/>
  <c r="G106" i="9"/>
  <c r="G102" i="9"/>
  <c r="G104" i="9"/>
  <c r="G105" i="9"/>
  <c r="G107" i="9"/>
  <c r="G103" i="9"/>
  <c r="P6" i="20"/>
  <c r="I6" i="20"/>
  <c r="G101" i="9"/>
  <c r="G108" i="9"/>
  <c r="K129" i="3"/>
  <c r="L129" i="3" s="1"/>
  <c r="AO128" i="3"/>
  <c r="AP128" i="3" s="1"/>
  <c r="AL106" i="3"/>
  <c r="AM106" i="3" s="1"/>
  <c r="AI132" i="3"/>
  <c r="AJ132" i="3" s="1"/>
  <c r="AL134" i="3"/>
  <c r="AM134" i="3" s="1"/>
  <c r="AI135" i="3"/>
  <c r="AJ135" i="3" s="1"/>
  <c r="AO132" i="3"/>
  <c r="AP132" i="3" s="1"/>
  <c r="AC129" i="3"/>
  <c r="AD129" i="3" s="1"/>
  <c r="H129" i="3"/>
  <c r="I129" i="3" s="1"/>
  <c r="Z129" i="3"/>
  <c r="AA129" i="3" s="1"/>
  <c r="AO129" i="3"/>
  <c r="AP129" i="3" s="1"/>
  <c r="AI134" i="3"/>
  <c r="AJ134" i="3" s="1"/>
  <c r="AU130" i="3"/>
  <c r="AV130" i="3" s="1"/>
  <c r="H134" i="3"/>
  <c r="D31" i="14" s="1"/>
  <c r="AU131" i="3"/>
  <c r="AV131" i="3" s="1"/>
  <c r="AX132" i="3"/>
  <c r="D134" i="14" s="1"/>
  <c r="AC127" i="3"/>
  <c r="AD127" i="3" s="1"/>
  <c r="N128" i="3"/>
  <c r="D95" i="14" s="1"/>
  <c r="AL133" i="3"/>
  <c r="AM133" i="3" s="1"/>
  <c r="C11" i="6"/>
  <c r="D11" i="6" s="1"/>
  <c r="C9" i="6"/>
  <c r="D9" i="6" s="1"/>
  <c r="F4" i="6"/>
  <c r="G4" i="6" s="1"/>
  <c r="AL136" i="3"/>
  <c r="AM136" i="3" s="1"/>
  <c r="AU129" i="3"/>
  <c r="AV129" i="3" s="1"/>
  <c r="AX131" i="3"/>
  <c r="AY131" i="3" s="1"/>
  <c r="AO135" i="3"/>
  <c r="AP135" i="3" s="1"/>
  <c r="Q130" i="3"/>
  <c r="R130" i="3" s="1"/>
  <c r="T134" i="3"/>
  <c r="U134" i="3" s="1"/>
  <c r="Q132" i="3"/>
  <c r="R132" i="3" s="1"/>
  <c r="AX136" i="3"/>
  <c r="D138" i="14" s="1"/>
  <c r="Q127" i="3"/>
  <c r="R127" i="3" s="1"/>
  <c r="AL127" i="3"/>
  <c r="AM127" i="3" s="1"/>
  <c r="T130" i="3"/>
  <c r="U130" i="3" s="1"/>
  <c r="AR128" i="3"/>
  <c r="AS128" i="3" s="1"/>
  <c r="Z128" i="3"/>
  <c r="AA128" i="3" s="1"/>
  <c r="AU132" i="3"/>
  <c r="AV132" i="3" s="1"/>
  <c r="AL131" i="3"/>
  <c r="AM131" i="3" s="1"/>
  <c r="N136" i="3"/>
  <c r="D103" i="14" s="1"/>
  <c r="Z130" i="3"/>
  <c r="AA130" i="3" s="1"/>
  <c r="AF133" i="3"/>
  <c r="AG133" i="3" s="1"/>
  <c r="H130" i="3"/>
  <c r="I130" i="3" s="1"/>
  <c r="AF135" i="3"/>
  <c r="AG135" i="3" s="1"/>
  <c r="AC130" i="3"/>
  <c r="AD130" i="3" s="1"/>
  <c r="AI129" i="3"/>
  <c r="AJ129" i="3" s="1"/>
  <c r="AX127" i="3"/>
  <c r="AY127" i="3" s="1"/>
  <c r="Q133" i="3"/>
  <c r="R133" i="3" s="1"/>
  <c r="N129" i="3"/>
  <c r="O129" i="3" s="1"/>
  <c r="N131" i="3"/>
  <c r="D98" i="14" s="1"/>
  <c r="AC132" i="3"/>
  <c r="AD132" i="3" s="1"/>
  <c r="AU134" i="3"/>
  <c r="AV134" i="3" s="1"/>
  <c r="W135" i="3"/>
  <c r="X135" i="3" s="1"/>
  <c r="AF130" i="3"/>
  <c r="AG130" i="3" s="1"/>
  <c r="AX134" i="3"/>
  <c r="D136" i="14" s="1"/>
  <c r="AC136" i="3"/>
  <c r="AD136" i="3" s="1"/>
  <c r="Q131" i="3"/>
  <c r="R131" i="3" s="1"/>
  <c r="AU127" i="3"/>
  <c r="AV127" i="3" s="1"/>
  <c r="Z131" i="3"/>
  <c r="AA131" i="3" s="1"/>
  <c r="AI127" i="3"/>
  <c r="AJ127" i="3" s="1"/>
  <c r="AF127" i="3"/>
  <c r="AG127" i="3" s="1"/>
  <c r="AR136" i="3"/>
  <c r="AS136" i="3" s="1"/>
  <c r="AI136" i="3"/>
  <c r="AJ136" i="3" s="1"/>
  <c r="T136" i="3"/>
  <c r="U136" i="3" s="1"/>
  <c r="AF136" i="3"/>
  <c r="AG136" i="3" s="1"/>
  <c r="AU136" i="3"/>
  <c r="AV136" i="3" s="1"/>
  <c r="Z133" i="3"/>
  <c r="AA133" i="3" s="1"/>
  <c r="T132" i="3"/>
  <c r="U132" i="3" s="1"/>
  <c r="Q128" i="3"/>
  <c r="R128" i="3" s="1"/>
  <c r="W130" i="3"/>
  <c r="X130" i="3" s="1"/>
  <c r="AR131" i="3"/>
  <c r="AS131" i="3" s="1"/>
  <c r="H133" i="3"/>
  <c r="D30" i="14" s="1"/>
  <c r="K131" i="3"/>
  <c r="Q136" i="3"/>
  <c r="R136" i="3" s="1"/>
  <c r="K133" i="3"/>
  <c r="D65" i="14" s="1"/>
  <c r="K136" i="3"/>
  <c r="D68" i="14" s="1"/>
  <c r="H128" i="3"/>
  <c r="I128" i="3" s="1"/>
  <c r="N133" i="3"/>
  <c r="AR130" i="3"/>
  <c r="AS130" i="3" s="1"/>
  <c r="AL128" i="3"/>
  <c r="AM128" i="3" s="1"/>
  <c r="AR129" i="3"/>
  <c r="AS129" i="3" s="1"/>
  <c r="AL130" i="3"/>
  <c r="AM130" i="3" s="1"/>
  <c r="AI131" i="3"/>
  <c r="AJ131" i="3" s="1"/>
  <c r="K132" i="3"/>
  <c r="D64" i="14" s="1"/>
  <c r="W134" i="3"/>
  <c r="X134" i="3" s="1"/>
  <c r="AO136" i="3"/>
  <c r="AP136" i="3" s="1"/>
  <c r="AX129" i="3"/>
  <c r="D131" i="14" s="1"/>
  <c r="AR132" i="3"/>
  <c r="AS132" i="3" s="1"/>
  <c r="K127" i="3"/>
  <c r="L127" i="3" s="1"/>
  <c r="N132" i="3"/>
  <c r="D99" i="14" s="1"/>
  <c r="Z127" i="3"/>
  <c r="AA127" i="3" s="1"/>
  <c r="W133" i="3"/>
  <c r="X133" i="3" s="1"/>
  <c r="AO133" i="3"/>
  <c r="AP133" i="3" s="1"/>
  <c r="H136" i="3"/>
  <c r="I136" i="3" s="1"/>
  <c r="AC133" i="3"/>
  <c r="AD133" i="3" s="1"/>
  <c r="AF128" i="3"/>
  <c r="AG128" i="3" s="1"/>
  <c r="H132" i="3"/>
  <c r="D29" i="14" s="1"/>
  <c r="Z135" i="3"/>
  <c r="AA135" i="3" s="1"/>
  <c r="H127" i="3"/>
  <c r="I127" i="3" s="1"/>
  <c r="AI130" i="3"/>
  <c r="AJ130" i="3" s="1"/>
  <c r="AI128" i="3"/>
  <c r="AJ128" i="3" s="1"/>
  <c r="T129" i="3"/>
  <c r="U129" i="3" s="1"/>
  <c r="AU128" i="3"/>
  <c r="AV128" i="3" s="1"/>
  <c r="AR127" i="3"/>
  <c r="AS127" i="3" s="1"/>
  <c r="Z132" i="3"/>
  <c r="AA132" i="3" s="1"/>
  <c r="W132" i="3"/>
  <c r="X132" i="3" s="1"/>
  <c r="K130" i="3"/>
  <c r="L130" i="3" s="1"/>
  <c r="Q129" i="3"/>
  <c r="R129" i="3" s="1"/>
  <c r="AF132" i="3"/>
  <c r="AG132" i="3" s="1"/>
  <c r="AF129" i="3"/>
  <c r="AG129" i="3" s="1"/>
  <c r="AL129" i="3"/>
  <c r="AM129" i="3" s="1"/>
  <c r="AX133" i="3"/>
  <c r="D135" i="14" s="1"/>
  <c r="AX135" i="3"/>
  <c r="AY135" i="3" s="1"/>
  <c r="AR135" i="3"/>
  <c r="AS135" i="3" s="1"/>
  <c r="AC131" i="3"/>
  <c r="AD131" i="3" s="1"/>
  <c r="Q134" i="3"/>
  <c r="R134" i="3" s="1"/>
  <c r="AU133" i="3"/>
  <c r="AV133" i="3" s="1"/>
  <c r="T127" i="3"/>
  <c r="U127" i="3" s="1"/>
  <c r="N130" i="3"/>
  <c r="O130" i="3" s="1"/>
  <c r="N134" i="3"/>
  <c r="O134" i="3" s="1"/>
  <c r="AI133" i="3"/>
  <c r="AJ133" i="3" s="1"/>
  <c r="AO130" i="3"/>
  <c r="AP130" i="3" s="1"/>
  <c r="AC128" i="3"/>
  <c r="AD128" i="3" s="1"/>
  <c r="W131" i="3"/>
  <c r="X131" i="3" s="1"/>
  <c r="AR133" i="3"/>
  <c r="AS133" i="3" s="1"/>
  <c r="K135" i="3"/>
  <c r="L135" i="3" s="1"/>
  <c r="K128" i="3"/>
  <c r="L128" i="3" s="1"/>
  <c r="W128" i="3"/>
  <c r="X128" i="3" s="1"/>
  <c r="AO134" i="3"/>
  <c r="AP134" i="3" s="1"/>
  <c r="T128" i="3"/>
  <c r="U128" i="3" s="1"/>
  <c r="H131" i="3"/>
  <c r="D28" i="14" s="1"/>
  <c r="AF131" i="3"/>
  <c r="AG131" i="3" s="1"/>
  <c r="T131" i="3"/>
  <c r="U131" i="3" s="1"/>
  <c r="AX130" i="3"/>
  <c r="D132" i="14" s="1"/>
  <c r="Z134" i="3"/>
  <c r="AA134" i="3" s="1"/>
  <c r="AO127" i="3"/>
  <c r="AP127" i="3" s="1"/>
  <c r="Q135" i="3"/>
  <c r="R135" i="3" s="1"/>
  <c r="W129" i="3"/>
  <c r="X129" i="3" s="1"/>
  <c r="T133" i="3"/>
  <c r="U133" i="3" s="1"/>
  <c r="AF134" i="3"/>
  <c r="AG134" i="3" s="1"/>
  <c r="N127" i="3"/>
  <c r="D94" i="14" s="1"/>
  <c r="W136" i="3"/>
  <c r="X136" i="3" s="1"/>
  <c r="H135" i="3"/>
  <c r="I135" i="3" s="1"/>
  <c r="T135" i="3"/>
  <c r="U135" i="3" s="1"/>
  <c r="AL132" i="3"/>
  <c r="AM132" i="3" s="1"/>
  <c r="K134" i="3"/>
  <c r="L134" i="3" s="1"/>
  <c r="AR134" i="3"/>
  <c r="AS134" i="3" s="1"/>
  <c r="N135" i="3"/>
  <c r="O135" i="3" s="1"/>
  <c r="AU135" i="3"/>
  <c r="AV135" i="3" s="1"/>
  <c r="AO131" i="3"/>
  <c r="AP131" i="3" s="1"/>
  <c r="AL135" i="3"/>
  <c r="AM135" i="3" s="1"/>
  <c r="AC134" i="3"/>
  <c r="AD134" i="3" s="1"/>
  <c r="Z136" i="3"/>
  <c r="AA136" i="3" s="1"/>
  <c r="I5" i="6"/>
  <c r="J5" i="6" s="1"/>
  <c r="C8" i="6"/>
  <c r="D8" i="6" s="1"/>
  <c r="C7" i="6"/>
  <c r="D7" i="6" s="1"/>
  <c r="C5" i="6"/>
  <c r="D5" i="6" s="1"/>
  <c r="C10" i="6"/>
  <c r="D10" i="6" s="1"/>
  <c r="C12" i="6"/>
  <c r="D12" i="6" s="1"/>
  <c r="F6" i="6"/>
  <c r="G6" i="6" s="1"/>
  <c r="C6" i="6"/>
  <c r="D6" i="6" s="1"/>
  <c r="W127" i="3"/>
  <c r="X127" i="3" s="1"/>
  <c r="AX128" i="3"/>
  <c r="D130" i="14" s="1"/>
  <c r="T70" i="3"/>
  <c r="U70" i="3" s="1"/>
  <c r="T100" i="3" s="1"/>
  <c r="U100" i="3" s="1"/>
  <c r="AC71" i="3"/>
  <c r="AC81" i="3" s="1"/>
  <c r="AD81" i="3" s="1"/>
  <c r="W72" i="3"/>
  <c r="X72" i="3" s="1"/>
  <c r="W102" i="3" s="1"/>
  <c r="X102" i="3" s="1"/>
  <c r="W69" i="3"/>
  <c r="AL67" i="3"/>
  <c r="AL77" i="3" s="1"/>
  <c r="AM77" i="3" s="1"/>
  <c r="N72" i="3"/>
  <c r="N82" i="3" s="1"/>
  <c r="O82" i="3" s="1"/>
  <c r="AR73" i="3"/>
  <c r="AS73" i="3" s="1"/>
  <c r="AR103" i="3" s="1"/>
  <c r="AS103" i="3" s="1"/>
  <c r="H71" i="3"/>
  <c r="I71" i="3" s="1"/>
  <c r="H101" i="3" s="1"/>
  <c r="I101" i="3" s="1"/>
  <c r="AX74" i="3"/>
  <c r="AY74" i="3" s="1"/>
  <c r="AX104" i="3" s="1"/>
  <c r="AY104" i="3" s="1"/>
  <c r="T76" i="3"/>
  <c r="U76" i="3" s="1"/>
  <c r="T106" i="3" s="1"/>
  <c r="U106" i="3" s="1"/>
  <c r="H74" i="3"/>
  <c r="I74" i="3" s="1"/>
  <c r="H104" i="3" s="1"/>
  <c r="I104" i="3" s="1"/>
  <c r="AF70" i="3"/>
  <c r="AG70" i="3" s="1"/>
  <c r="AF100" i="3" s="1"/>
  <c r="AG100" i="3" s="1"/>
  <c r="H73" i="3"/>
  <c r="I73" i="3" s="1"/>
  <c r="H103" i="3" s="1"/>
  <c r="I103" i="3" s="1"/>
  <c r="AR67" i="3"/>
  <c r="AS67" i="3" s="1"/>
  <c r="AR97" i="3" s="1"/>
  <c r="AS97" i="3" s="1"/>
  <c r="K69" i="3"/>
  <c r="L69" i="3" s="1"/>
  <c r="K99" i="3" s="1"/>
  <c r="L99" i="3" s="1"/>
  <c r="Q68" i="3"/>
  <c r="R68" i="3" s="1"/>
  <c r="Q98" i="3" s="1"/>
  <c r="R98" i="3" s="1"/>
  <c r="AO71" i="3"/>
  <c r="AF76" i="3"/>
  <c r="AX76" i="3"/>
  <c r="AC72" i="3"/>
  <c r="T69" i="3"/>
  <c r="AL71" i="3"/>
  <c r="AM71" i="3" s="1"/>
  <c r="AL101" i="3" s="1"/>
  <c r="AM101" i="3" s="1"/>
  <c r="AU69" i="3"/>
  <c r="AU72" i="3"/>
  <c r="T68" i="3"/>
  <c r="U68" i="3" s="1"/>
  <c r="T98" i="3" s="1"/>
  <c r="U98" i="3" s="1"/>
  <c r="AI68" i="3"/>
  <c r="N69" i="3"/>
  <c r="Q71" i="3"/>
  <c r="W75" i="3"/>
  <c r="AI73" i="3"/>
  <c r="AR69" i="3"/>
  <c r="AO69" i="3"/>
  <c r="AC70" i="3"/>
  <c r="AD70" i="3" s="1"/>
  <c r="AC100" i="3" s="1"/>
  <c r="AD100" i="3" s="1"/>
  <c r="AL86" i="3"/>
  <c r="AM86" i="3" s="1"/>
  <c r="Z73" i="3"/>
  <c r="Q67" i="3"/>
  <c r="Z76" i="3"/>
  <c r="AU68" i="3"/>
  <c r="N67" i="3"/>
  <c r="O67" i="3" s="1"/>
  <c r="N97" i="3" s="1"/>
  <c r="O97" i="3" s="1"/>
  <c r="AI67" i="3"/>
  <c r="AO68" i="3"/>
  <c r="T75" i="3"/>
  <c r="AL73" i="3"/>
  <c r="AF75" i="3"/>
  <c r="AR76" i="3"/>
  <c r="AL68" i="3"/>
  <c r="H76" i="3"/>
  <c r="N71" i="3"/>
  <c r="W70" i="3"/>
  <c r="AU70" i="3"/>
  <c r="AV70" i="3" s="1"/>
  <c r="AU100" i="3" s="1"/>
  <c r="AV100" i="3" s="1"/>
  <c r="AI75" i="3"/>
  <c r="AJ75" i="3" s="1"/>
  <c r="AI105" i="3" s="1"/>
  <c r="AJ105" i="3" s="1"/>
  <c r="AR71" i="3"/>
  <c r="H72" i="3"/>
  <c r="N70" i="3"/>
  <c r="O70" i="3" s="1"/>
  <c r="N100" i="3" s="1"/>
  <c r="O100" i="3" s="1"/>
  <c r="H70" i="3"/>
  <c r="AX72" i="3"/>
  <c r="AY72" i="3" s="1"/>
  <c r="AX102" i="3" s="1"/>
  <c r="AY102" i="3" s="1"/>
  <c r="AU71" i="3"/>
  <c r="AF71" i="3"/>
  <c r="Z68" i="3"/>
  <c r="Q73" i="3"/>
  <c r="Z69" i="3"/>
  <c r="AC68" i="3"/>
  <c r="AL72" i="3"/>
  <c r="AI71" i="3"/>
  <c r="AI81" i="3" s="1"/>
  <c r="AJ81" i="3" s="1"/>
  <c r="AL75" i="3"/>
  <c r="AO67" i="3"/>
  <c r="Q70" i="3"/>
  <c r="AF72" i="3"/>
  <c r="N75" i="3"/>
  <c r="AU74" i="3"/>
  <c r="AC75" i="3"/>
  <c r="Z71" i="3"/>
  <c r="AA71" i="3" s="1"/>
  <c r="Z101" i="3" s="1"/>
  <c r="AA101" i="3" s="1"/>
  <c r="AI69" i="3"/>
  <c r="H75" i="3"/>
  <c r="W68" i="3"/>
  <c r="AU67" i="3"/>
  <c r="AF67" i="3"/>
  <c r="AL69" i="3"/>
  <c r="AL79" i="3" s="1"/>
  <c r="AR70" i="3"/>
  <c r="Q74" i="3"/>
  <c r="AF69" i="3"/>
  <c r="AF73" i="3"/>
  <c r="AO70" i="3"/>
  <c r="AF68" i="3"/>
  <c r="W67" i="3"/>
  <c r="W76" i="3"/>
  <c r="K74" i="3"/>
  <c r="L74" i="3" s="1"/>
  <c r="N76" i="3"/>
  <c r="AU75" i="3"/>
  <c r="AL74" i="3"/>
  <c r="T71" i="3"/>
  <c r="AO73" i="3"/>
  <c r="AX68" i="3"/>
  <c r="AI76" i="3"/>
  <c r="T73" i="3"/>
  <c r="AI74" i="3"/>
  <c r="AO74" i="3"/>
  <c r="AU76" i="3"/>
  <c r="AX69" i="3"/>
  <c r="AI70" i="3"/>
  <c r="N74" i="3"/>
  <c r="W71" i="3"/>
  <c r="AC74" i="3"/>
  <c r="Z72" i="3"/>
  <c r="K72" i="3"/>
  <c r="K82" i="3" s="1"/>
  <c r="L82" i="3" s="1"/>
  <c r="N68" i="3"/>
  <c r="AX71" i="3"/>
  <c r="K71" i="3"/>
  <c r="Q69" i="3"/>
  <c r="K68" i="3"/>
  <c r="K73" i="3"/>
  <c r="H69" i="3"/>
  <c r="H68" i="3"/>
  <c r="H78" i="3" s="1"/>
  <c r="I78" i="3" s="1"/>
  <c r="AC73" i="3"/>
  <c r="AX75" i="3"/>
  <c r="H67" i="3"/>
  <c r="T72" i="3"/>
  <c r="AO72" i="3"/>
  <c r="AR68" i="3"/>
  <c r="AR78" i="3" s="1"/>
  <c r="AS78" i="3" s="1"/>
  <c r="AU73" i="3"/>
  <c r="AC67" i="3"/>
  <c r="N73" i="3"/>
  <c r="AX67" i="3"/>
  <c r="AX77" i="3" s="1"/>
  <c r="AY77" i="3" s="1"/>
  <c r="AX70" i="3"/>
  <c r="T67" i="3"/>
  <c r="AC69" i="3"/>
  <c r="K70" i="3"/>
  <c r="L70" i="3" s="1"/>
  <c r="K100" i="3" s="1"/>
  <c r="L100" i="3" s="1"/>
  <c r="Q75" i="3"/>
  <c r="Z74" i="3"/>
  <c r="AO76" i="3"/>
  <c r="AO86" i="3" s="1"/>
  <c r="AP86" i="3" s="1"/>
  <c r="AF74" i="3"/>
  <c r="W73" i="3"/>
  <c r="W83" i="3" s="1"/>
  <c r="X83" i="3" s="1"/>
  <c r="AR75" i="3"/>
  <c r="W74" i="3"/>
  <c r="Q76" i="3"/>
  <c r="AL70" i="3"/>
  <c r="Z75" i="3"/>
  <c r="AO75" i="3"/>
  <c r="AP75" i="3" s="1"/>
  <c r="K67" i="3"/>
  <c r="AC76" i="3"/>
  <c r="Z67" i="3"/>
  <c r="Q72" i="3"/>
  <c r="Z70" i="3"/>
  <c r="AR74" i="3"/>
  <c r="T74" i="3"/>
  <c r="AX73" i="3"/>
  <c r="AX83" i="3" s="1"/>
  <c r="AY83" i="3" s="1"/>
  <c r="AI72" i="3"/>
  <c r="K76" i="3"/>
  <c r="K75" i="3"/>
  <c r="AD135" i="3"/>
  <c r="C4" i="6"/>
  <c r="E26" i="9" l="1"/>
  <c r="F25" i="9"/>
  <c r="E130" i="9"/>
  <c r="F129" i="9"/>
  <c r="E5" i="20"/>
  <c r="I5" i="20" s="1"/>
  <c r="C40" i="11"/>
  <c r="D133" i="14"/>
  <c r="AR82" i="3"/>
  <c r="AS82" i="3" s="1"/>
  <c r="I63" i="9"/>
  <c r="H8" i="11"/>
  <c r="M14" i="6"/>
  <c r="M15" i="6"/>
  <c r="E7" i="11"/>
  <c r="E4" i="9"/>
  <c r="G8" i="11"/>
  <c r="L14" i="6"/>
  <c r="G10" i="20"/>
  <c r="G9" i="20" s="1"/>
  <c r="G3" i="20" s="1"/>
  <c r="D61" i="14"/>
  <c r="J78" i="9"/>
  <c r="F10" i="20"/>
  <c r="I78" i="9"/>
  <c r="D137" i="14"/>
  <c r="AY133" i="3"/>
  <c r="E10" i="20"/>
  <c r="E9" i="20" s="1"/>
  <c r="E3" i="20" s="1"/>
  <c r="H78" i="9"/>
  <c r="L133" i="3"/>
  <c r="O128" i="3"/>
  <c r="P5" i="20"/>
  <c r="U6" i="20"/>
  <c r="D10" i="20"/>
  <c r="G78" i="9"/>
  <c r="T80" i="3"/>
  <c r="U80" i="3" s="1"/>
  <c r="D27" i="14"/>
  <c r="O131" i="3"/>
  <c r="AY128" i="3"/>
  <c r="I134" i="3"/>
  <c r="O127" i="3"/>
  <c r="F127" i="3" s="1"/>
  <c r="D25" i="14"/>
  <c r="I132" i="3"/>
  <c r="AD71" i="3"/>
  <c r="AC101" i="3" s="1"/>
  <c r="AD101" i="3" s="1"/>
  <c r="D59" i="14"/>
  <c r="D101" i="14"/>
  <c r="D96" i="14"/>
  <c r="AY129" i="3"/>
  <c r="F129" i="3" s="1"/>
  <c r="D67" i="14"/>
  <c r="AY132" i="3"/>
  <c r="AY134" i="3"/>
  <c r="D62" i="14"/>
  <c r="L136" i="3"/>
  <c r="E23" i="20"/>
  <c r="E134" i="3"/>
  <c r="L11" i="4" s="1"/>
  <c r="M11" i="4" s="1"/>
  <c r="O132" i="3"/>
  <c r="D66" i="14"/>
  <c r="L132" i="3"/>
  <c r="D33" i="14"/>
  <c r="D26" i="14"/>
  <c r="E136" i="3"/>
  <c r="L13" i="4" s="1"/>
  <c r="M13" i="4" s="1"/>
  <c r="O133" i="3"/>
  <c r="D100" i="14"/>
  <c r="D97" i="14"/>
  <c r="I133" i="3"/>
  <c r="AY136" i="3"/>
  <c r="E135" i="3"/>
  <c r="L12" i="4" s="1"/>
  <c r="M12" i="4" s="1"/>
  <c r="D102" i="14"/>
  <c r="E132" i="3"/>
  <c r="L9" i="4" s="1"/>
  <c r="M9" i="4" s="1"/>
  <c r="D32" i="14"/>
  <c r="D24" i="14"/>
  <c r="E133" i="3"/>
  <c r="L10" i="4" s="1"/>
  <c r="M10" i="4" s="1"/>
  <c r="E129" i="3"/>
  <c r="L6" i="4" s="1"/>
  <c r="M6" i="4" s="1"/>
  <c r="E131" i="3"/>
  <c r="L8" i="4" s="1"/>
  <c r="M8" i="4" s="1"/>
  <c r="O136" i="3"/>
  <c r="D129" i="14"/>
  <c r="E130" i="3"/>
  <c r="L7" i="4" s="1"/>
  <c r="M7" i="4" s="1"/>
  <c r="I131" i="3"/>
  <c r="AY130" i="3"/>
  <c r="F130" i="3" s="1"/>
  <c r="D60" i="14"/>
  <c r="L131" i="3"/>
  <c r="D63" i="14"/>
  <c r="AU80" i="3"/>
  <c r="AV80" i="3" s="1"/>
  <c r="O72" i="3"/>
  <c r="N102" i="3" s="1"/>
  <c r="O102" i="3" s="1"/>
  <c r="K79" i="3"/>
  <c r="L79" i="3" s="1"/>
  <c r="E127" i="3"/>
  <c r="L4" i="4" s="1"/>
  <c r="M4" i="4" s="1"/>
  <c r="E128" i="3"/>
  <c r="L5" i="4" s="1"/>
  <c r="M5" i="4" s="1"/>
  <c r="L72" i="3"/>
  <c r="K102" i="3" s="1"/>
  <c r="AF80" i="3"/>
  <c r="AG80" i="3" s="1"/>
  <c r="AJ71" i="3"/>
  <c r="AI101" i="3" s="1"/>
  <c r="AJ101" i="3" s="1"/>
  <c r="K84" i="3"/>
  <c r="L84" i="3" s="1"/>
  <c r="AX84" i="3"/>
  <c r="AY84" i="3" s="1"/>
  <c r="K80" i="3"/>
  <c r="L80" i="3" s="1"/>
  <c r="AS68" i="3"/>
  <c r="AR98" i="3" s="1"/>
  <c r="AS98" i="3" s="1"/>
  <c r="T86" i="3"/>
  <c r="U86" i="3" s="1"/>
  <c r="AX82" i="3"/>
  <c r="AY82" i="3" s="1"/>
  <c r="W82" i="3"/>
  <c r="X82" i="3" s="1"/>
  <c r="F135" i="3"/>
  <c r="AM69" i="3"/>
  <c r="AL99" i="3" s="1"/>
  <c r="AM99" i="3" s="1"/>
  <c r="AP76" i="3"/>
  <c r="AO106" i="3" s="1"/>
  <c r="AP106" i="3" s="1"/>
  <c r="E72" i="3"/>
  <c r="AY67" i="3"/>
  <c r="AX97" i="3" s="1"/>
  <c r="AY97" i="3" s="1"/>
  <c r="I68" i="3"/>
  <c r="H98" i="3" s="1"/>
  <c r="I98" i="3" s="1"/>
  <c r="H84" i="3"/>
  <c r="I84" i="3" s="1"/>
  <c r="AM67" i="3"/>
  <c r="AL97" i="3" s="1"/>
  <c r="AM97" i="3" s="1"/>
  <c r="H81" i="3"/>
  <c r="I81" i="3" s="1"/>
  <c r="N80" i="3"/>
  <c r="O80" i="3" s="1"/>
  <c r="X73" i="3"/>
  <c r="W103" i="3" s="1"/>
  <c r="H83" i="3"/>
  <c r="I83" i="3" s="1"/>
  <c r="AR77" i="3"/>
  <c r="AS77" i="3" s="1"/>
  <c r="T78" i="3"/>
  <c r="U78" i="3" s="1"/>
  <c r="E76" i="3"/>
  <c r="AP71" i="3"/>
  <c r="AO101" i="3" s="1"/>
  <c r="AP101" i="3" s="1"/>
  <c r="AO81" i="3"/>
  <c r="AP81" i="3" s="1"/>
  <c r="AL81" i="3"/>
  <c r="AM81" i="3" s="1"/>
  <c r="AR83" i="3"/>
  <c r="AS83" i="3" s="1"/>
  <c r="X69" i="3"/>
  <c r="W99" i="3" s="1"/>
  <c r="X99" i="3" s="1"/>
  <c r="W79" i="3"/>
  <c r="X79" i="3" s="1"/>
  <c r="E73" i="3"/>
  <c r="AC80" i="3"/>
  <c r="AD80" i="3" s="1"/>
  <c r="Q78" i="3"/>
  <c r="R78" i="3" s="1"/>
  <c r="L68" i="3"/>
  <c r="K98" i="3" s="1"/>
  <c r="L98" i="3" s="1"/>
  <c r="K78" i="3"/>
  <c r="L78" i="3" s="1"/>
  <c r="O76" i="3"/>
  <c r="N106" i="3" s="1"/>
  <c r="O106" i="3" s="1"/>
  <c r="N86" i="3"/>
  <c r="O86" i="3" s="1"/>
  <c r="AJ69" i="3"/>
  <c r="AI99" i="3" s="1"/>
  <c r="AJ99" i="3" s="1"/>
  <c r="AI79" i="3"/>
  <c r="AJ79" i="3" s="1"/>
  <c r="AV71" i="3"/>
  <c r="AU101" i="3" s="1"/>
  <c r="AV101" i="3" s="1"/>
  <c r="AU81" i="3"/>
  <c r="AV81" i="3" s="1"/>
  <c r="AY73" i="3"/>
  <c r="AX103" i="3" s="1"/>
  <c r="AY103" i="3" s="1"/>
  <c r="U74" i="3"/>
  <c r="T104" i="3" s="1"/>
  <c r="U104" i="3" s="1"/>
  <c r="T84" i="3"/>
  <c r="U84" i="3" s="1"/>
  <c r="AA75" i="3"/>
  <c r="Z105" i="3" s="1"/>
  <c r="AA105" i="3" s="1"/>
  <c r="Z85" i="3"/>
  <c r="AA85" i="3" s="1"/>
  <c r="T77" i="3"/>
  <c r="U77" i="3" s="1"/>
  <c r="U67" i="3"/>
  <c r="T97" i="3" s="1"/>
  <c r="U97" i="3" s="1"/>
  <c r="U72" i="3"/>
  <c r="T102" i="3" s="1"/>
  <c r="U102" i="3" s="1"/>
  <c r="T82" i="3"/>
  <c r="U82" i="3" s="1"/>
  <c r="R69" i="3"/>
  <c r="Q99" i="3" s="1"/>
  <c r="R99" i="3" s="1"/>
  <c r="Q79" i="3"/>
  <c r="R79" i="3" s="1"/>
  <c r="O74" i="3"/>
  <c r="N104" i="3" s="1"/>
  <c r="O104" i="3" s="1"/>
  <c r="N84" i="3"/>
  <c r="O84" i="3" s="1"/>
  <c r="AY68" i="3"/>
  <c r="AX98" i="3" s="1"/>
  <c r="AY98" i="3" s="1"/>
  <c r="AX78" i="3"/>
  <c r="AY78" i="3" s="1"/>
  <c r="AS70" i="3"/>
  <c r="AR100" i="3" s="1"/>
  <c r="AS100" i="3" s="1"/>
  <c r="AR80" i="3"/>
  <c r="AS80" i="3" s="1"/>
  <c r="U75" i="3"/>
  <c r="T105" i="3" s="1"/>
  <c r="U105" i="3" s="1"/>
  <c r="T85" i="3"/>
  <c r="U85" i="3" s="1"/>
  <c r="O69" i="3"/>
  <c r="N99" i="3" s="1"/>
  <c r="O99" i="3" s="1"/>
  <c r="N79" i="3"/>
  <c r="O79" i="3" s="1"/>
  <c r="AY76" i="3"/>
  <c r="AX106" i="3" s="1"/>
  <c r="AY106" i="3" s="1"/>
  <c r="AX86" i="3"/>
  <c r="AY86" i="3" s="1"/>
  <c r="AS74" i="3"/>
  <c r="AR104" i="3" s="1"/>
  <c r="AS104" i="3" s="1"/>
  <c r="AR84" i="3"/>
  <c r="AS84" i="3" s="1"/>
  <c r="AL80" i="3"/>
  <c r="AM80" i="3" s="1"/>
  <c r="AM70" i="3"/>
  <c r="AL100" i="3" s="1"/>
  <c r="AM100" i="3" s="1"/>
  <c r="AY70" i="3"/>
  <c r="AX100" i="3" s="1"/>
  <c r="AY100" i="3" s="1"/>
  <c r="AX80" i="3"/>
  <c r="AY80" i="3" s="1"/>
  <c r="I67" i="3"/>
  <c r="H77" i="3"/>
  <c r="I77" i="3" s="1"/>
  <c r="E67" i="3"/>
  <c r="L71" i="3"/>
  <c r="K101" i="3" s="1"/>
  <c r="L101" i="3" s="1"/>
  <c r="K81" i="3"/>
  <c r="L81" i="3" s="1"/>
  <c r="AJ70" i="3"/>
  <c r="AI100" i="3" s="1"/>
  <c r="AJ100" i="3" s="1"/>
  <c r="AI80" i="3"/>
  <c r="AJ80" i="3" s="1"/>
  <c r="AO83" i="3"/>
  <c r="AP83" i="3" s="1"/>
  <c r="AP73" i="3"/>
  <c r="AO103" i="3" s="1"/>
  <c r="AP103" i="3" s="1"/>
  <c r="X76" i="3"/>
  <c r="W106" i="3" s="1"/>
  <c r="X106" i="3" s="1"/>
  <c r="W86" i="3"/>
  <c r="X86" i="3" s="1"/>
  <c r="AD75" i="3"/>
  <c r="AC105" i="3" s="1"/>
  <c r="AD105" i="3" s="1"/>
  <c r="AC85" i="3"/>
  <c r="AD85" i="3" s="1"/>
  <c r="AM72" i="3"/>
  <c r="AL102" i="3" s="1"/>
  <c r="AM102" i="3" s="1"/>
  <c r="AL82" i="3"/>
  <c r="AM82" i="3" s="1"/>
  <c r="I70" i="3"/>
  <c r="H100" i="3" s="1"/>
  <c r="I100" i="3" s="1"/>
  <c r="H80" i="3"/>
  <c r="I80" i="3" s="1"/>
  <c r="X70" i="3"/>
  <c r="W100" i="3" s="1"/>
  <c r="X100" i="3" s="1"/>
  <c r="W80" i="3"/>
  <c r="X80" i="3" s="1"/>
  <c r="AO78" i="3"/>
  <c r="AP78" i="3" s="1"/>
  <c r="AP68" i="3"/>
  <c r="AO98" i="3" s="1"/>
  <c r="AP98" i="3" s="1"/>
  <c r="AJ68" i="3"/>
  <c r="AI98" i="3" s="1"/>
  <c r="AJ98" i="3" s="1"/>
  <c r="AI78" i="3"/>
  <c r="AJ78" i="3" s="1"/>
  <c r="AG76" i="3"/>
  <c r="AF106" i="3" s="1"/>
  <c r="AG106" i="3" s="1"/>
  <c r="AF86" i="3"/>
  <c r="AG86" i="3" s="1"/>
  <c r="AD69" i="3"/>
  <c r="AC99" i="3" s="1"/>
  <c r="AD99" i="3" s="1"/>
  <c r="AC79" i="3"/>
  <c r="AD79" i="3" s="1"/>
  <c r="R71" i="3"/>
  <c r="Q101" i="3" s="1"/>
  <c r="R101" i="3" s="1"/>
  <c r="Q81" i="3"/>
  <c r="R81" i="3" s="1"/>
  <c r="AI86" i="3"/>
  <c r="AJ86" i="3" s="1"/>
  <c r="AI85" i="3"/>
  <c r="AJ85" i="3" s="1"/>
  <c r="E68" i="3"/>
  <c r="AA70" i="3"/>
  <c r="Z100" i="3" s="1"/>
  <c r="AA100" i="3" s="1"/>
  <c r="Z80" i="3"/>
  <c r="AA80" i="3" s="1"/>
  <c r="R76" i="3"/>
  <c r="Q106" i="3" s="1"/>
  <c r="R106" i="3" s="1"/>
  <c r="Q86" i="3"/>
  <c r="R86" i="3" s="1"/>
  <c r="AX85" i="3"/>
  <c r="AY85" i="3" s="1"/>
  <c r="AY75" i="3"/>
  <c r="AX105" i="3" s="1"/>
  <c r="AY105" i="3" s="1"/>
  <c r="AX81" i="3"/>
  <c r="AY81" i="3" s="1"/>
  <c r="AY71" i="3"/>
  <c r="AX101" i="3" s="1"/>
  <c r="AY101" i="3" s="1"/>
  <c r="AY69" i="3"/>
  <c r="AX99" i="3" s="1"/>
  <c r="AY99" i="3" s="1"/>
  <c r="AX79" i="3"/>
  <c r="AY79" i="3" s="1"/>
  <c r="U71" i="3"/>
  <c r="T101" i="3" s="1"/>
  <c r="U101" i="3" s="1"/>
  <c r="T81" i="3"/>
  <c r="U81" i="3" s="1"/>
  <c r="X67" i="3"/>
  <c r="W97" i="3" s="1"/>
  <c r="X97" i="3" s="1"/>
  <c r="W77" i="3"/>
  <c r="X77" i="3" s="1"/>
  <c r="AF77" i="3"/>
  <c r="AG77" i="3" s="1"/>
  <c r="AG67" i="3"/>
  <c r="AF97" i="3" s="1"/>
  <c r="AG97" i="3" s="1"/>
  <c r="AV74" i="3"/>
  <c r="AU104" i="3" s="1"/>
  <c r="AV104" i="3" s="1"/>
  <c r="AU84" i="3"/>
  <c r="AV84" i="3" s="1"/>
  <c r="AD68" i="3"/>
  <c r="AC98" i="3" s="1"/>
  <c r="AD98" i="3" s="1"/>
  <c r="AC78" i="3"/>
  <c r="AD78" i="3" s="1"/>
  <c r="N81" i="3"/>
  <c r="O81" i="3" s="1"/>
  <c r="O71" i="3"/>
  <c r="N101" i="3" s="1"/>
  <c r="O101" i="3" s="1"/>
  <c r="AI77" i="3"/>
  <c r="AJ77" i="3" s="1"/>
  <c r="AJ67" i="3"/>
  <c r="AI97" i="3" s="1"/>
  <c r="AJ97" i="3" s="1"/>
  <c r="R74" i="3"/>
  <c r="Q104" i="3" s="1"/>
  <c r="R104" i="3" s="1"/>
  <c r="Q84" i="3"/>
  <c r="R84" i="3" s="1"/>
  <c r="AM75" i="3"/>
  <c r="AL105" i="3" s="1"/>
  <c r="AM105" i="3" s="1"/>
  <c r="AL85" i="3"/>
  <c r="AM85" i="3" s="1"/>
  <c r="E69" i="3"/>
  <c r="Q82" i="3"/>
  <c r="R82" i="3" s="1"/>
  <c r="R72" i="3"/>
  <c r="Q102" i="3" s="1"/>
  <c r="R102" i="3" s="1"/>
  <c r="X74" i="3"/>
  <c r="W104" i="3" s="1"/>
  <c r="X104" i="3" s="1"/>
  <c r="W84" i="3"/>
  <c r="X84" i="3" s="1"/>
  <c r="O73" i="3"/>
  <c r="N103" i="3" s="1"/>
  <c r="O103" i="3" s="1"/>
  <c r="N83" i="3"/>
  <c r="O83" i="3" s="1"/>
  <c r="AC83" i="3"/>
  <c r="AD83" i="3" s="1"/>
  <c r="AD73" i="3"/>
  <c r="AC103" i="3" s="1"/>
  <c r="AD103" i="3" s="1"/>
  <c r="O68" i="3"/>
  <c r="N98" i="3" s="1"/>
  <c r="O98" i="3" s="1"/>
  <c r="N78" i="3"/>
  <c r="O78" i="3" s="1"/>
  <c r="AV76" i="3"/>
  <c r="AU106" i="3" s="1"/>
  <c r="AV106" i="3" s="1"/>
  <c r="AU86" i="3"/>
  <c r="AV86" i="3" s="1"/>
  <c r="AG68" i="3"/>
  <c r="AF98" i="3" s="1"/>
  <c r="AG98" i="3" s="1"/>
  <c r="AF78" i="3"/>
  <c r="AG78" i="3" s="1"/>
  <c r="AV67" i="3"/>
  <c r="AU97" i="3" s="1"/>
  <c r="AV97" i="3" s="1"/>
  <c r="AU77" i="3"/>
  <c r="AV77" i="3" s="1"/>
  <c r="O75" i="3"/>
  <c r="N105" i="3" s="1"/>
  <c r="O105" i="3" s="1"/>
  <c r="N85" i="3"/>
  <c r="O85" i="3" s="1"/>
  <c r="Z79" i="3"/>
  <c r="AA79" i="3" s="1"/>
  <c r="AA69" i="3"/>
  <c r="Z99" i="3" s="1"/>
  <c r="AA99" i="3" s="1"/>
  <c r="I76" i="3"/>
  <c r="H106" i="3" s="1"/>
  <c r="I106" i="3" s="1"/>
  <c r="H86" i="3"/>
  <c r="I86" i="3" s="1"/>
  <c r="AP69" i="3"/>
  <c r="AO99" i="3" s="1"/>
  <c r="AP99" i="3" s="1"/>
  <c r="AO79" i="3"/>
  <c r="AP79" i="3" s="1"/>
  <c r="AV72" i="3"/>
  <c r="AU102" i="3" s="1"/>
  <c r="AV102" i="3" s="1"/>
  <c r="AU82" i="3"/>
  <c r="AV82" i="3" s="1"/>
  <c r="AD72" i="3"/>
  <c r="AC102" i="3" s="1"/>
  <c r="AD102" i="3" s="1"/>
  <c r="AC82" i="3"/>
  <c r="AD82" i="3" s="1"/>
  <c r="AJ76" i="3"/>
  <c r="AI106" i="3" s="1"/>
  <c r="E71" i="3"/>
  <c r="L75" i="3"/>
  <c r="K105" i="3" s="1"/>
  <c r="L105" i="3" s="1"/>
  <c r="K85" i="3"/>
  <c r="L85" i="3" s="1"/>
  <c r="Z77" i="3"/>
  <c r="AA77" i="3" s="1"/>
  <c r="AA67" i="3"/>
  <c r="Z97" i="3" s="1"/>
  <c r="AA97" i="3" s="1"/>
  <c r="AS75" i="3"/>
  <c r="AR105" i="3" s="1"/>
  <c r="AS105" i="3" s="1"/>
  <c r="AR85" i="3"/>
  <c r="AS85" i="3" s="1"/>
  <c r="AA74" i="3"/>
  <c r="Z104" i="3" s="1"/>
  <c r="AA104" i="3" s="1"/>
  <c r="Z84" i="3"/>
  <c r="AA84" i="3" s="1"/>
  <c r="AD67" i="3"/>
  <c r="AC97" i="3" s="1"/>
  <c r="AD97" i="3" s="1"/>
  <c r="AC77" i="3"/>
  <c r="AD77" i="3" s="1"/>
  <c r="AP74" i="3"/>
  <c r="AO104" i="3" s="1"/>
  <c r="AP104" i="3" s="1"/>
  <c r="AO84" i="3"/>
  <c r="AP84" i="3" s="1"/>
  <c r="AO80" i="3"/>
  <c r="AP80" i="3" s="1"/>
  <c r="AP70" i="3"/>
  <c r="AO100" i="3" s="1"/>
  <c r="AP100" i="3" s="1"/>
  <c r="X68" i="3"/>
  <c r="W98" i="3" s="1"/>
  <c r="X98" i="3" s="1"/>
  <c r="W78" i="3"/>
  <c r="X78" i="3" s="1"/>
  <c r="AG72" i="3"/>
  <c r="AF102" i="3" s="1"/>
  <c r="AG102" i="3" s="1"/>
  <c r="AF82" i="3"/>
  <c r="AG82" i="3" s="1"/>
  <c r="R73" i="3"/>
  <c r="Q103" i="3" s="1"/>
  <c r="R103" i="3" s="1"/>
  <c r="Q83" i="3"/>
  <c r="R83" i="3" s="1"/>
  <c r="AM68" i="3"/>
  <c r="AL98" i="3" s="1"/>
  <c r="AM98" i="3" s="1"/>
  <c r="AL78" i="3"/>
  <c r="AM78" i="3" s="1"/>
  <c r="AU78" i="3"/>
  <c r="AV78" i="3" s="1"/>
  <c r="AV68" i="3"/>
  <c r="AU98" i="3" s="1"/>
  <c r="AV98" i="3" s="1"/>
  <c r="AS69" i="3"/>
  <c r="AR99" i="3" s="1"/>
  <c r="AS99" i="3" s="1"/>
  <c r="AR79" i="3"/>
  <c r="AS79" i="3" s="1"/>
  <c r="AV69" i="3"/>
  <c r="AU99" i="3" s="1"/>
  <c r="AV99" i="3" s="1"/>
  <c r="AU79" i="3"/>
  <c r="AV79" i="3" s="1"/>
  <c r="X71" i="3"/>
  <c r="W101" i="3" s="1"/>
  <c r="X101" i="3" s="1"/>
  <c r="W81" i="3"/>
  <c r="X81" i="3" s="1"/>
  <c r="AA73" i="3"/>
  <c r="Z103" i="3" s="1"/>
  <c r="AA103" i="3" s="1"/>
  <c r="Z83" i="3"/>
  <c r="AA83" i="3" s="1"/>
  <c r="E75" i="3"/>
  <c r="N77" i="3"/>
  <c r="O77" i="3" s="1"/>
  <c r="E74" i="3"/>
  <c r="AO85" i="3"/>
  <c r="AP85" i="3" s="1"/>
  <c r="E70" i="3"/>
  <c r="Z81" i="3"/>
  <c r="AA81" i="3" s="1"/>
  <c r="K86" i="3"/>
  <c r="L86" i="3" s="1"/>
  <c r="L76" i="3"/>
  <c r="K106" i="3" s="1"/>
  <c r="L106" i="3" s="1"/>
  <c r="AD76" i="3"/>
  <c r="AC106" i="3" s="1"/>
  <c r="AD106" i="3" s="1"/>
  <c r="AC86" i="3"/>
  <c r="AD86" i="3" s="1"/>
  <c r="R75" i="3"/>
  <c r="Q105" i="3" s="1"/>
  <c r="R105" i="3" s="1"/>
  <c r="Q85" i="3"/>
  <c r="R85" i="3" s="1"/>
  <c r="AV73" i="3"/>
  <c r="AU103" i="3" s="1"/>
  <c r="AV103" i="3" s="1"/>
  <c r="AU83" i="3"/>
  <c r="AV83" i="3" s="1"/>
  <c r="H79" i="3"/>
  <c r="I79" i="3" s="1"/>
  <c r="I69" i="3"/>
  <c r="H99" i="3" s="1"/>
  <c r="I99" i="3" s="1"/>
  <c r="Z82" i="3"/>
  <c r="AA82" i="3" s="1"/>
  <c r="AA72" i="3"/>
  <c r="Z102" i="3" s="1"/>
  <c r="AA102" i="3" s="1"/>
  <c r="AJ74" i="3"/>
  <c r="AI104" i="3" s="1"/>
  <c r="AJ104" i="3" s="1"/>
  <c r="AI84" i="3"/>
  <c r="AJ84" i="3" s="1"/>
  <c r="AM74" i="3"/>
  <c r="AL104" i="3" s="1"/>
  <c r="AM104" i="3" s="1"/>
  <c r="AL84" i="3"/>
  <c r="AM84" i="3" s="1"/>
  <c r="AG73" i="3"/>
  <c r="AF103" i="3" s="1"/>
  <c r="AG103" i="3" s="1"/>
  <c r="AF83" i="3"/>
  <c r="AG83" i="3" s="1"/>
  <c r="I75" i="3"/>
  <c r="H105" i="3" s="1"/>
  <c r="I105" i="3" s="1"/>
  <c r="H85" i="3"/>
  <c r="I85" i="3" s="1"/>
  <c r="R70" i="3"/>
  <c r="Q100" i="3" s="1"/>
  <c r="R100" i="3" s="1"/>
  <c r="Q80" i="3"/>
  <c r="R80" i="3" s="1"/>
  <c r="Z78" i="3"/>
  <c r="AA78" i="3" s="1"/>
  <c r="AA68" i="3"/>
  <c r="Z98" i="3" s="1"/>
  <c r="AA98" i="3" s="1"/>
  <c r="H82" i="3"/>
  <c r="I82" i="3" s="1"/>
  <c r="I72" i="3"/>
  <c r="H102" i="3" s="1"/>
  <c r="I102" i="3" s="1"/>
  <c r="AR86" i="3"/>
  <c r="AS86" i="3" s="1"/>
  <c r="AS76" i="3"/>
  <c r="AR106" i="3" s="1"/>
  <c r="AS106" i="3" s="1"/>
  <c r="AA76" i="3"/>
  <c r="Z106" i="3" s="1"/>
  <c r="AA106" i="3" s="1"/>
  <c r="Z86" i="3"/>
  <c r="AA86" i="3" s="1"/>
  <c r="AJ73" i="3"/>
  <c r="AI103" i="3" s="1"/>
  <c r="AJ103" i="3" s="1"/>
  <c r="AI83" i="3"/>
  <c r="AJ83" i="3" s="1"/>
  <c r="AP72" i="3"/>
  <c r="AO102" i="3" s="1"/>
  <c r="AP102" i="3" s="1"/>
  <c r="AO82" i="3"/>
  <c r="AP82" i="3" s="1"/>
  <c r="AM73" i="3"/>
  <c r="AL103" i="3" s="1"/>
  <c r="AM103" i="3" s="1"/>
  <c r="AL83" i="3"/>
  <c r="AM83" i="3" s="1"/>
  <c r="AJ72" i="3"/>
  <c r="AI102" i="3" s="1"/>
  <c r="AJ102" i="3" s="1"/>
  <c r="AI82" i="3"/>
  <c r="AJ82" i="3" s="1"/>
  <c r="L67" i="3"/>
  <c r="K97" i="3" s="1"/>
  <c r="L97" i="3" s="1"/>
  <c r="K77" i="3"/>
  <c r="L77" i="3" s="1"/>
  <c r="AG74" i="3"/>
  <c r="AF104" i="3" s="1"/>
  <c r="AG104" i="3" s="1"/>
  <c r="AF84" i="3"/>
  <c r="AG84" i="3" s="1"/>
  <c r="L73" i="3"/>
  <c r="K103" i="3" s="1"/>
  <c r="L103" i="3" s="1"/>
  <c r="K83" i="3"/>
  <c r="AD74" i="3"/>
  <c r="AC104" i="3" s="1"/>
  <c r="AD104" i="3" s="1"/>
  <c r="AC84" i="3"/>
  <c r="AD84" i="3" s="1"/>
  <c r="U73" i="3"/>
  <c r="T103" i="3" s="1"/>
  <c r="U103" i="3" s="1"/>
  <c r="T83" i="3"/>
  <c r="U83" i="3" s="1"/>
  <c r="AU85" i="3"/>
  <c r="AV85" i="3" s="1"/>
  <c r="AV75" i="3"/>
  <c r="AU105" i="3" s="1"/>
  <c r="AV105" i="3" s="1"/>
  <c r="AG69" i="3"/>
  <c r="AF99" i="3" s="1"/>
  <c r="AG99" i="3" s="1"/>
  <c r="AF79" i="3"/>
  <c r="AG79" i="3" s="1"/>
  <c r="AO77" i="3"/>
  <c r="AP77" i="3" s="1"/>
  <c r="AP67" i="3"/>
  <c r="AO97" i="3" s="1"/>
  <c r="AP97" i="3" s="1"/>
  <c r="AF81" i="3"/>
  <c r="AG81" i="3" s="1"/>
  <c r="AG71" i="3"/>
  <c r="AF101" i="3" s="1"/>
  <c r="AG101" i="3" s="1"/>
  <c r="AS71" i="3"/>
  <c r="AR101" i="3" s="1"/>
  <c r="AS101" i="3" s="1"/>
  <c r="AR81" i="3"/>
  <c r="AS81" i="3" s="1"/>
  <c r="AF85" i="3"/>
  <c r="AG85" i="3" s="1"/>
  <c r="AG75" i="3"/>
  <c r="AF105" i="3" s="1"/>
  <c r="AG105" i="3" s="1"/>
  <c r="R67" i="3"/>
  <c r="Q97" i="3" s="1"/>
  <c r="R97" i="3" s="1"/>
  <c r="Q77" i="3"/>
  <c r="R77" i="3" s="1"/>
  <c r="X75" i="3"/>
  <c r="W105" i="3" s="1"/>
  <c r="X105" i="3" s="1"/>
  <c r="W85" i="3"/>
  <c r="X85" i="3" s="1"/>
  <c r="U69" i="3"/>
  <c r="T99" i="3" s="1"/>
  <c r="U99" i="3" s="1"/>
  <c r="T79" i="3"/>
  <c r="U79" i="3" s="1"/>
  <c r="R23" i="20"/>
  <c r="F23" i="20"/>
  <c r="D4" i="6"/>
  <c r="C14" i="6"/>
  <c r="Q23" i="20"/>
  <c r="AO105" i="3"/>
  <c r="AM79" i="3"/>
  <c r="K104" i="3"/>
  <c r="F3" i="9" l="1"/>
  <c r="F83" i="9"/>
  <c r="E83" i="9" s="1"/>
  <c r="F86" i="9"/>
  <c r="E86" i="9" s="1"/>
  <c r="K10" i="11" s="1"/>
  <c r="I11" i="6" s="1"/>
  <c r="J11" i="6" s="1"/>
  <c r="F82" i="9"/>
  <c r="E82" i="9" s="1"/>
  <c r="F81" i="9"/>
  <c r="F84" i="9"/>
  <c r="E84" i="9" s="1"/>
  <c r="I10" i="11" s="1"/>
  <c r="I9" i="6" s="1"/>
  <c r="J9" i="6" s="1"/>
  <c r="F88" i="9"/>
  <c r="E88" i="9" s="1"/>
  <c r="F85" i="9"/>
  <c r="E85" i="9" s="1"/>
  <c r="F87" i="9"/>
  <c r="E87" i="9" s="1"/>
  <c r="F101" i="9"/>
  <c r="E101" i="9" s="1"/>
  <c r="F104" i="9"/>
  <c r="E104" i="9" s="1"/>
  <c r="F108" i="9"/>
  <c r="E108" i="9" s="1"/>
  <c r="F102" i="9"/>
  <c r="E102" i="9" s="1"/>
  <c r="F105" i="9"/>
  <c r="E105" i="9" s="1"/>
  <c r="F103" i="9"/>
  <c r="E103" i="9" s="1"/>
  <c r="F107" i="9"/>
  <c r="E107" i="9" s="1"/>
  <c r="F106" i="9"/>
  <c r="E106" i="9" s="1"/>
  <c r="E25" i="9"/>
  <c r="E3" i="9" s="1"/>
  <c r="D9" i="11"/>
  <c r="E129" i="9"/>
  <c r="D14" i="11"/>
  <c r="G37" i="11"/>
  <c r="F7" i="6"/>
  <c r="G7" i="6" s="1"/>
  <c r="I64" i="9"/>
  <c r="E36" i="11"/>
  <c r="F5" i="6"/>
  <c r="E15" i="11"/>
  <c r="C7" i="11"/>
  <c r="H37" i="11"/>
  <c r="F8" i="6"/>
  <c r="G8" i="6" s="1"/>
  <c r="J56" i="9"/>
  <c r="S10" i="20"/>
  <c r="S9" i="20" s="1"/>
  <c r="S3" i="20" s="1"/>
  <c r="F128" i="3"/>
  <c r="R10" i="20"/>
  <c r="H56" i="9"/>
  <c r="Q10" i="20"/>
  <c r="Q9" i="20" s="1"/>
  <c r="Q3" i="20" s="1"/>
  <c r="G56" i="9"/>
  <c r="P10" i="20"/>
  <c r="I10" i="20"/>
  <c r="D9" i="20"/>
  <c r="U5" i="20"/>
  <c r="F134" i="3"/>
  <c r="F132" i="3"/>
  <c r="S23" i="20"/>
  <c r="F133" i="3"/>
  <c r="F131" i="3"/>
  <c r="F136" i="3"/>
  <c r="G23" i="20"/>
  <c r="P23" i="20"/>
  <c r="M14" i="4"/>
  <c r="D23" i="20"/>
  <c r="M15" i="4"/>
  <c r="L14" i="4"/>
  <c r="F77" i="3"/>
  <c r="F74" i="3"/>
  <c r="F81" i="3"/>
  <c r="Q20" i="20"/>
  <c r="E20" i="20"/>
  <c r="F100" i="3"/>
  <c r="F101" i="3"/>
  <c r="Q21" i="20"/>
  <c r="R21" i="20"/>
  <c r="E80" i="3"/>
  <c r="O7" i="4" s="1"/>
  <c r="P7" i="4" s="1"/>
  <c r="F84" i="3"/>
  <c r="F86" i="3"/>
  <c r="F85" i="3"/>
  <c r="F78" i="3"/>
  <c r="E81" i="3"/>
  <c r="O8" i="4" s="1"/>
  <c r="P8" i="4" s="1"/>
  <c r="F82" i="3"/>
  <c r="E21" i="20"/>
  <c r="E84" i="3"/>
  <c r="O11" i="4" s="1"/>
  <c r="P11" i="4" s="1"/>
  <c r="H97" i="3"/>
  <c r="F67" i="3"/>
  <c r="E86" i="3"/>
  <c r="O13" i="4" s="1"/>
  <c r="P13" i="4" s="1"/>
  <c r="E98" i="3"/>
  <c r="I5" i="4" s="1"/>
  <c r="J5" i="4" s="1"/>
  <c r="F71" i="3"/>
  <c r="F69" i="3"/>
  <c r="E78" i="3"/>
  <c r="O5" i="4" s="1"/>
  <c r="P5" i="4" s="1"/>
  <c r="F68" i="3"/>
  <c r="F76" i="3"/>
  <c r="L83" i="3"/>
  <c r="F83" i="3" s="1"/>
  <c r="E83" i="3"/>
  <c r="O10" i="4" s="1"/>
  <c r="P10" i="4" s="1"/>
  <c r="F79" i="3"/>
  <c r="E79" i="3"/>
  <c r="O6" i="4" s="1"/>
  <c r="P6" i="4" s="1"/>
  <c r="E99" i="3"/>
  <c r="I6" i="4" s="1"/>
  <c r="J6" i="4" s="1"/>
  <c r="F99" i="3"/>
  <c r="F73" i="3"/>
  <c r="E82" i="3"/>
  <c r="O9" i="4" s="1"/>
  <c r="P9" i="4" s="1"/>
  <c r="F70" i="3"/>
  <c r="F72" i="3"/>
  <c r="F75" i="3"/>
  <c r="F21" i="20"/>
  <c r="E85" i="3"/>
  <c r="O12" i="4" s="1"/>
  <c r="P12" i="4" s="1"/>
  <c r="E100" i="3"/>
  <c r="I7" i="4" s="1"/>
  <c r="J7" i="4" s="1"/>
  <c r="E77" i="3"/>
  <c r="O4" i="4" s="1"/>
  <c r="P4" i="4" s="1"/>
  <c r="E101" i="3"/>
  <c r="I8" i="4" s="1"/>
  <c r="J8" i="4" s="1"/>
  <c r="D14" i="6"/>
  <c r="D15" i="6"/>
  <c r="F80" i="3"/>
  <c r="G21" i="20"/>
  <c r="L102" i="3"/>
  <c r="F102" i="3" s="1"/>
  <c r="E102" i="3"/>
  <c r="I9" i="4" s="1"/>
  <c r="AJ106" i="3"/>
  <c r="E106" i="3"/>
  <c r="I13" i="4" s="1"/>
  <c r="X103" i="3"/>
  <c r="E103" i="3"/>
  <c r="I10" i="4" s="1"/>
  <c r="S21" i="20"/>
  <c r="L104" i="3"/>
  <c r="F104" i="3" s="1"/>
  <c r="E104" i="3"/>
  <c r="I11" i="4" s="1"/>
  <c r="AP105" i="3"/>
  <c r="F105" i="3" s="1"/>
  <c r="E105" i="3"/>
  <c r="I12" i="4" s="1"/>
  <c r="F98" i="3"/>
  <c r="M10" i="11" l="1"/>
  <c r="I13" i="6" s="1"/>
  <c r="J13" i="6" s="1"/>
  <c r="H10" i="11"/>
  <c r="J10" i="11"/>
  <c r="I10" i="6" s="1"/>
  <c r="J10" i="6" s="1"/>
  <c r="G10" i="11"/>
  <c r="I7" i="6" s="1"/>
  <c r="J7" i="6" s="1"/>
  <c r="L10" i="11"/>
  <c r="I4" i="6"/>
  <c r="J4" i="6" s="1"/>
  <c r="D38" i="11"/>
  <c r="C38" i="11" s="1"/>
  <c r="C9" i="11"/>
  <c r="E81" i="9"/>
  <c r="F78" i="9"/>
  <c r="F56" i="9" s="1"/>
  <c r="M39" i="11"/>
  <c r="O4" i="6"/>
  <c r="C14" i="11"/>
  <c r="D15" i="11"/>
  <c r="D43" i="11"/>
  <c r="K39" i="11"/>
  <c r="I65" i="9"/>
  <c r="J8" i="11"/>
  <c r="I8" i="11"/>
  <c r="I39" i="11"/>
  <c r="G5" i="6"/>
  <c r="U5" i="6"/>
  <c r="J39" i="11"/>
  <c r="C36" i="11"/>
  <c r="E44" i="11"/>
  <c r="D3" i="20"/>
  <c r="H15" i="11"/>
  <c r="H39" i="11"/>
  <c r="I8" i="6"/>
  <c r="U10" i="20"/>
  <c r="P9" i="20"/>
  <c r="U23" i="20"/>
  <c r="I23" i="20"/>
  <c r="P21" i="20"/>
  <c r="U21" i="20" s="1"/>
  <c r="D21" i="20"/>
  <c r="I21" i="20" s="1"/>
  <c r="Q19" i="20"/>
  <c r="Q15" i="20" s="1"/>
  <c r="E19" i="20"/>
  <c r="E15" i="20" s="1"/>
  <c r="U8" i="4"/>
  <c r="U5" i="4"/>
  <c r="V5" i="4" s="1"/>
  <c r="P15" i="4"/>
  <c r="P14" i="4"/>
  <c r="U7" i="4"/>
  <c r="V7" i="4" s="1"/>
  <c r="O14" i="4"/>
  <c r="U6" i="4"/>
  <c r="I97" i="3"/>
  <c r="F97" i="3" s="1"/>
  <c r="E97" i="3"/>
  <c r="I4" i="4" s="1"/>
  <c r="F106" i="3"/>
  <c r="S20" i="20"/>
  <c r="S19" i="20" s="1"/>
  <c r="S15" i="20" s="1"/>
  <c r="G20" i="20"/>
  <c r="G19" i="20" s="1"/>
  <c r="G15" i="20" s="1"/>
  <c r="U11" i="4"/>
  <c r="J11" i="4"/>
  <c r="J12" i="4"/>
  <c r="U12" i="4"/>
  <c r="J13" i="4"/>
  <c r="U13" i="4"/>
  <c r="U10" i="4"/>
  <c r="J10" i="4"/>
  <c r="F20" i="20"/>
  <c r="F19" i="20" s="1"/>
  <c r="F15" i="20" s="1"/>
  <c r="R20" i="20"/>
  <c r="R19" i="20" s="1"/>
  <c r="R15" i="20" s="1"/>
  <c r="F103" i="3"/>
  <c r="J9" i="4"/>
  <c r="U9" i="4"/>
  <c r="J15" i="11" l="1"/>
  <c r="G39" i="11"/>
  <c r="G44" i="11" s="1"/>
  <c r="G15" i="11"/>
  <c r="U7" i="6"/>
  <c r="V7" i="6" s="1"/>
  <c r="L39" i="11"/>
  <c r="I12" i="6"/>
  <c r="J12" i="6" s="1"/>
  <c r="F10" i="11"/>
  <c r="E78" i="9"/>
  <c r="C43" i="11"/>
  <c r="D44" i="11"/>
  <c r="U4" i="6"/>
  <c r="O14" i="6"/>
  <c r="P4" i="6"/>
  <c r="I37" i="11"/>
  <c r="F9" i="6"/>
  <c r="C5" i="2"/>
  <c r="D5" i="2" s="1"/>
  <c r="I5" i="2" s="1"/>
  <c r="V5" i="6"/>
  <c r="I15" i="11"/>
  <c r="J37" i="11"/>
  <c r="J44" i="11" s="1"/>
  <c r="F10" i="6"/>
  <c r="G10" i="6" s="1"/>
  <c r="I44" i="11"/>
  <c r="I66" i="9"/>
  <c r="P3" i="20"/>
  <c r="J8" i="6"/>
  <c r="U8" i="6"/>
  <c r="F8" i="2" s="1"/>
  <c r="G8" i="2" s="1"/>
  <c r="J8" i="2" s="1"/>
  <c r="H44" i="11"/>
  <c r="D20" i="20"/>
  <c r="I20" i="20" s="1"/>
  <c r="V8" i="4"/>
  <c r="F5" i="2"/>
  <c r="G5" i="2" s="1"/>
  <c r="J5" i="2" s="1"/>
  <c r="J4" i="4"/>
  <c r="J14" i="4" s="1"/>
  <c r="U4" i="4"/>
  <c r="U14" i="4" s="1"/>
  <c r="I14" i="4"/>
  <c r="V6" i="4"/>
  <c r="P20" i="20"/>
  <c r="P19" i="20" s="1"/>
  <c r="V12" i="4"/>
  <c r="V13" i="4"/>
  <c r="V10" i="4"/>
  <c r="V9" i="4"/>
  <c r="V11" i="4"/>
  <c r="C7" i="2" l="1"/>
  <c r="D7" i="2" s="1"/>
  <c r="I7" i="2" s="1"/>
  <c r="F7" i="2"/>
  <c r="G7" i="2" s="1"/>
  <c r="J7" i="2" s="1"/>
  <c r="I6" i="6"/>
  <c r="F39" i="11"/>
  <c r="F15" i="11"/>
  <c r="C10" i="11"/>
  <c r="P14" i="6"/>
  <c r="P15" i="6"/>
  <c r="C4" i="2"/>
  <c r="D4" i="2" s="1"/>
  <c r="I4" i="2" s="1"/>
  <c r="V4" i="6"/>
  <c r="U10" i="6"/>
  <c r="F10" i="2" s="1"/>
  <c r="G10" i="2" s="1"/>
  <c r="J10" i="2" s="1"/>
  <c r="K8" i="11"/>
  <c r="G9" i="6"/>
  <c r="U9" i="6"/>
  <c r="I67" i="9"/>
  <c r="M8" i="11" s="1"/>
  <c r="L8" i="11"/>
  <c r="F11" i="20"/>
  <c r="I57" i="9"/>
  <c r="C8" i="2"/>
  <c r="V8" i="6"/>
  <c r="D19" i="20"/>
  <c r="D15" i="20" s="1"/>
  <c r="I15" i="20" s="1"/>
  <c r="J15" i="4"/>
  <c r="U20" i="20"/>
  <c r="V4" i="4"/>
  <c r="V14" i="4" s="1"/>
  <c r="F4" i="2"/>
  <c r="G4" i="2" s="1"/>
  <c r="J4" i="2" s="1"/>
  <c r="K4" i="2" s="1"/>
  <c r="P15" i="20"/>
  <c r="U15" i="20" s="1"/>
  <c r="U19" i="20"/>
  <c r="F44" i="11" l="1"/>
  <c r="C39" i="11"/>
  <c r="U6" i="6"/>
  <c r="J6" i="6"/>
  <c r="I14" i="6"/>
  <c r="V10" i="6"/>
  <c r="C10" i="2"/>
  <c r="D10" i="2" s="1"/>
  <c r="I10" i="2" s="1"/>
  <c r="V9" i="6"/>
  <c r="F9" i="2"/>
  <c r="G9" i="2" s="1"/>
  <c r="J9" i="2" s="1"/>
  <c r="C9" i="2"/>
  <c r="D9" i="2" s="1"/>
  <c r="I9" i="2" s="1"/>
  <c r="R11" i="20"/>
  <c r="I56" i="9"/>
  <c r="L37" i="11"/>
  <c r="L44" i="11" s="1"/>
  <c r="F12" i="6"/>
  <c r="L15" i="11"/>
  <c r="E57" i="9"/>
  <c r="E56" i="9" s="1"/>
  <c r="I11" i="20"/>
  <c r="F9" i="20"/>
  <c r="M37" i="11"/>
  <c r="F13" i="6"/>
  <c r="M15" i="11"/>
  <c r="K37" i="11"/>
  <c r="K44" i="11" s="1"/>
  <c r="F11" i="6"/>
  <c r="K15" i="11"/>
  <c r="C8" i="11"/>
  <c r="C15" i="11" s="1"/>
  <c r="D8" i="2"/>
  <c r="I19" i="20"/>
  <c r="V15" i="4"/>
  <c r="L4" i="2"/>
  <c r="K5" i="2"/>
  <c r="V6" i="6" l="1"/>
  <c r="C6" i="2"/>
  <c r="D6" i="2" s="1"/>
  <c r="I6" i="2" s="1"/>
  <c r="F6" i="2"/>
  <c r="G6" i="2" s="1"/>
  <c r="J6" i="2" s="1"/>
  <c r="K6" i="2" s="1"/>
  <c r="K7" i="2" s="1"/>
  <c r="K8" i="2" s="1"/>
  <c r="K9" i="2" s="1"/>
  <c r="K10" i="2" s="1"/>
  <c r="J15" i="6"/>
  <c r="J14" i="6"/>
  <c r="G13" i="6"/>
  <c r="U13" i="6"/>
  <c r="C37" i="11"/>
  <c r="M44" i="11"/>
  <c r="C44" i="11" s="1"/>
  <c r="F3" i="20"/>
  <c r="I3" i="20" s="1"/>
  <c r="I9" i="20"/>
  <c r="U11" i="20"/>
  <c r="R9" i="20"/>
  <c r="G11" i="6"/>
  <c r="U11" i="6"/>
  <c r="F14" i="6"/>
  <c r="G12" i="6"/>
  <c r="U12" i="6"/>
  <c r="I8" i="2"/>
  <c r="L5" i="2"/>
  <c r="L6" i="2" l="1"/>
  <c r="L7" i="2" s="1"/>
  <c r="L8" i="2" s="1"/>
  <c r="L9" i="2" s="1"/>
  <c r="L10" i="2" s="1"/>
  <c r="L11" i="2" s="1"/>
  <c r="L12" i="2" s="1"/>
  <c r="L13" i="2" s="1"/>
  <c r="C11" i="2"/>
  <c r="V11" i="6"/>
  <c r="F11" i="2"/>
  <c r="U14" i="6"/>
  <c r="G15" i="6"/>
  <c r="G14" i="6"/>
  <c r="C12" i="2"/>
  <c r="D12" i="2" s="1"/>
  <c r="I12" i="2" s="1"/>
  <c r="F12" i="2"/>
  <c r="G12" i="2" s="1"/>
  <c r="J12" i="2" s="1"/>
  <c r="V12" i="6"/>
  <c r="R3" i="20"/>
  <c r="U3" i="20" s="1"/>
  <c r="U9" i="20"/>
  <c r="V13" i="6"/>
  <c r="C13" i="2"/>
  <c r="D13" i="2" s="1"/>
  <c r="I13" i="2" s="1"/>
  <c r="F13" i="2"/>
  <c r="G13" i="2" s="1"/>
  <c r="J13" i="2" s="1"/>
  <c r="G11" i="2" l="1"/>
  <c r="F14" i="2"/>
  <c r="V15" i="6"/>
  <c r="J17" i="2" s="1"/>
  <c r="B2" i="7" s="1"/>
  <c r="V14" i="6"/>
  <c r="D11" i="2"/>
  <c r="C14" i="2"/>
  <c r="I11" i="2" l="1"/>
  <c r="I14" i="2" s="1"/>
  <c r="J21" i="2" s="1"/>
  <c r="D14" i="2"/>
  <c r="F7" i="7"/>
  <c r="C7" i="7"/>
  <c r="C42" i="7"/>
  <c r="L7" i="7"/>
  <c r="O7" i="7"/>
  <c r="R7" i="7"/>
  <c r="C26" i="7"/>
  <c r="I7" i="7"/>
  <c r="J11" i="2"/>
  <c r="J19" i="2"/>
  <c r="G14" i="2"/>
  <c r="J14" i="2" l="1"/>
  <c r="J22" i="2" s="1"/>
  <c r="K11" i="2"/>
  <c r="K12" i="2" s="1"/>
  <c r="K1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KPMG</author>
  </authors>
  <commentList>
    <comment ref="I14" authorId="0" shapeId="0" xr:uid="{00000000-0006-0000-0300-000001000000}">
      <text>
        <r>
          <rPr>
            <sz val="8"/>
            <color indexed="81"/>
            <rFont val="Tahoma"/>
            <family val="2"/>
            <charset val="238"/>
          </rPr>
          <t>ocakavame zapornu hodnotu
tato zaporna hodnota ma zodpovedat max. fin. pomoci z SF</t>
        </r>
      </text>
    </comment>
    <comment ref="J14" authorId="0" shapeId="0" xr:uid="{00000000-0006-0000-0300-000002000000}">
      <text>
        <r>
          <rPr>
            <sz val="8"/>
            <color indexed="81"/>
            <rFont val="Tahoma"/>
            <family val="2"/>
            <charset val="238"/>
          </rPr>
          <t>ocakavame kladnu hodnotu (moze byt aj nizko nad nulou)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H69" authorId="0" shapeId="0" xr:uid="{00000000-0006-0000-0D00-000001000000}">
      <text>
        <r>
          <rPr>
            <b/>
            <sz val="9"/>
            <color rgb="FF000000"/>
            <rFont val="Calibri"/>
            <family val="2"/>
          </rPr>
          <t>Krok Martin: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</rPr>
          <t xml:space="preserve"> v Alternatíve 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Krok Martin</author>
  </authors>
  <commentList>
    <comment ref="AG12" authorId="0" shapeId="0" xr:uid="{7862E890-E311-5F49-84A8-519704116FA9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H12" authorId="0" shapeId="0" xr:uid="{89D31D01-A4A3-604A-9076-5A9D9D6AA66B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12" authorId="0" shapeId="0" xr:uid="{A7DB70A1-224E-1D43-B129-1A9F2A058F29}">
      <text>
        <r>
          <rPr>
            <b/>
            <sz val="9"/>
            <color rgb="FF000000"/>
            <rFont val="Calibri"/>
            <family val="2"/>
            <scheme val="minor"/>
          </rPr>
          <t>Krok Martin:</t>
        </r>
        <r>
          <rPr>
            <sz val="9"/>
            <color rgb="FF000000"/>
            <rFont val="Calibri"/>
            <family val="2"/>
            <scheme val="minor"/>
          </rPr>
          <t xml:space="preserve">
</t>
        </r>
        <r>
          <rPr>
            <sz val="9"/>
            <color rgb="FF000000"/>
            <rFont val="Calibri"/>
            <family val="2"/>
            <scheme val="minor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  <scheme val="minor"/>
          </rPr>
          <t xml:space="preserve"> v Alternatíve 2</t>
        </r>
      </text>
    </comment>
    <comment ref="AP12" authorId="0" shapeId="0" xr:uid="{AC8E0B27-9184-9948-A2E9-9A8FB609BB0B}">
      <text>
        <r>
          <rPr>
            <b/>
            <sz val="9"/>
            <color rgb="FF000000"/>
            <rFont val="Calibri"/>
            <family val="2"/>
            <scheme val="minor"/>
          </rPr>
          <t>Krok Martin:</t>
        </r>
        <r>
          <rPr>
            <sz val="9"/>
            <color rgb="FF000000"/>
            <rFont val="Calibri"/>
            <family val="2"/>
            <scheme val="minor"/>
          </rPr>
          <t xml:space="preserve">
</t>
        </r>
        <r>
          <rPr>
            <sz val="9"/>
            <color rgb="FF000000"/>
            <rFont val="Calibri"/>
            <family val="2"/>
            <scheme val="minor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  <scheme val="minor"/>
          </rPr>
          <t xml:space="preserve"> v Alternatíve 2</t>
        </r>
      </text>
    </comment>
    <comment ref="AG26" authorId="0" shapeId="0" xr:uid="{8AB17E27-9A38-484A-BE17-097A2D5A3BE3}">
      <text>
        <r>
          <rPr>
            <b/>
            <sz val="9"/>
            <color rgb="FF000000"/>
            <rFont val="Calibri"/>
            <family val="2"/>
            <charset val="238"/>
            <scheme val="minor"/>
          </rPr>
          <t>Krok Martin:</t>
        </r>
        <r>
          <rPr>
            <sz val="9"/>
            <color rgb="FF000000"/>
            <rFont val="Calibri"/>
            <family val="2"/>
            <charset val="238"/>
            <scheme val="minor"/>
          </rPr>
          <t xml:space="preserve">
</t>
        </r>
        <r>
          <rPr>
            <sz val="9"/>
            <color rgb="FF000000"/>
            <rFont val="Calibri"/>
            <family val="2"/>
            <charset val="238"/>
            <scheme val="minor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  <charset val="238"/>
            <scheme val="minor"/>
          </rPr>
          <t xml:space="preserve"> v Alternatíve 2</t>
        </r>
      </text>
    </comment>
    <comment ref="AH26" authorId="0" shapeId="0" xr:uid="{6639C44D-4148-E945-9A95-6754F16B7FE2}">
      <text>
        <r>
          <rPr>
            <b/>
            <sz val="9"/>
            <color indexed="81"/>
            <rFont val="Segoe UI"/>
            <family val="2"/>
            <charset val="238"/>
          </rPr>
          <t>Krok Martin:</t>
        </r>
        <r>
          <rPr>
            <sz val="9"/>
            <color indexed="81"/>
            <rFont val="Segoe UI"/>
            <family val="2"/>
            <charset val="238"/>
          </rPr>
          <t xml:space="preserve">
Súčet by mal zodpoveď Investičným nákladom na vývoj aplikácií
 v Alternatíve 2</t>
        </r>
      </text>
    </comment>
    <comment ref="AI26" authorId="0" shapeId="0" xr:uid="{44550192-3B3B-344F-A181-1E459F326ACA}">
      <text>
        <r>
          <rPr>
            <b/>
            <sz val="9"/>
            <color rgb="FF000000"/>
            <rFont val="Calibri"/>
            <family val="2"/>
            <scheme val="minor"/>
          </rPr>
          <t>Krok Martin:</t>
        </r>
        <r>
          <rPr>
            <sz val="9"/>
            <color rgb="FF000000"/>
            <rFont val="Calibri"/>
            <family val="2"/>
            <scheme val="minor"/>
          </rPr>
          <t xml:space="preserve">
</t>
        </r>
        <r>
          <rPr>
            <sz val="9"/>
            <color rgb="FF000000"/>
            <rFont val="Calibri"/>
            <family val="2"/>
            <scheme val="minor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  <scheme val="minor"/>
          </rPr>
          <t xml:space="preserve"> v Alternatíve 2</t>
        </r>
      </text>
    </comment>
    <comment ref="AP26" authorId="0" shapeId="0" xr:uid="{6E8016B3-1297-764D-B785-41D9891BA8EE}">
      <text>
        <r>
          <rPr>
            <b/>
            <sz val="9"/>
            <color rgb="FF000000"/>
            <rFont val="Calibri"/>
            <family val="2"/>
            <scheme val="minor"/>
          </rPr>
          <t>Krok Martin:</t>
        </r>
        <r>
          <rPr>
            <sz val="9"/>
            <color rgb="FF000000"/>
            <rFont val="Calibri"/>
            <family val="2"/>
            <scheme val="minor"/>
          </rPr>
          <t xml:space="preserve">
</t>
        </r>
        <r>
          <rPr>
            <sz val="9"/>
            <color rgb="FF000000"/>
            <rFont val="Calibri"/>
            <family val="2"/>
            <scheme val="minor"/>
          </rPr>
          <t xml:space="preserve">Súčet by mal zodpoveď Investičným nákladom na vývoj aplikácií
</t>
        </r>
        <r>
          <rPr>
            <sz val="9"/>
            <color rgb="FF000000"/>
            <rFont val="Calibri"/>
            <family val="2"/>
            <scheme val="minor"/>
          </rPr>
          <t xml:space="preserve"> v Alternatíve 2</t>
        </r>
      </text>
    </comment>
  </commentList>
</comments>
</file>

<file path=xl/sharedStrings.xml><?xml version="1.0" encoding="utf-8"?>
<sst xmlns="http://schemas.openxmlformats.org/spreadsheetml/2006/main" count="2274" uniqueCount="539">
  <si>
    <t>Príloha pre výpočet TCO a čistej súčasnej hodnoty z projektu</t>
  </si>
  <si>
    <t>Pre projekty zamerané na služby agendových informačných systémov</t>
  </si>
  <si>
    <t>Metodický pokyn k vypracovaniu finančnej analýzy projektu, analýzy nákladov a prínosov projektu a finančnej analýzy žiadateľa o NFP v programovom období 2014 – 2020.</t>
  </si>
  <si>
    <t>Názov riešenia</t>
  </si>
  <si>
    <t>Elektronické služby MŠVVaŠ SR</t>
  </si>
  <si>
    <t>Číslo projektu ITMS</t>
  </si>
  <si>
    <t>Kód ISVS z MetaIS</t>
  </si>
  <si>
    <t>Organizácia</t>
  </si>
  <si>
    <t>Ministerstva školstva, vedy, výskumu a športu Slovenskej Republiky</t>
  </si>
  <si>
    <t>Ulica</t>
  </si>
  <si>
    <t>Stromová 1</t>
  </si>
  <si>
    <t>PSČ</t>
  </si>
  <si>
    <t>813 30 Bratislava</t>
  </si>
  <si>
    <t>Web</t>
  </si>
  <si>
    <t>www.minedu.sk</t>
  </si>
  <si>
    <t>IČO</t>
  </si>
  <si>
    <t>Spracovateľ</t>
  </si>
  <si>
    <t xml:space="preserve">    Titul, Meno, Priezvisko</t>
  </si>
  <si>
    <t xml:space="preserve">Kontakt na spracovateľa    </t>
  </si>
  <si>
    <t xml:space="preserve">    Email, telefón</t>
  </si>
  <si>
    <t>Jednotlivé informácie sú farebne odlíšené nasledovne:</t>
  </si>
  <si>
    <t>Hlavička tabuľky</t>
  </si>
  <si>
    <t>Popisná informácia</t>
  </si>
  <si>
    <t>Automaticky vypočitavané hodnoty</t>
  </si>
  <si>
    <t>Miesto na vpisovanie vlastných hodnôt</t>
  </si>
  <si>
    <t>Preddefinované konštanty</t>
  </si>
  <si>
    <t>Zoznam hárkov s vysvetlením a pokynmi</t>
  </si>
  <si>
    <t>Hárok</t>
  </si>
  <si>
    <t>Účel hárku</t>
  </si>
  <si>
    <t>Vstupy od zhotoviteľa (žlté polia)</t>
  </si>
  <si>
    <t>Sumarizácia</t>
  </si>
  <si>
    <t>Sumarizácia výsledkov CBA podľa prínosov a modulov</t>
  </si>
  <si>
    <t>Vymenovanie a popísanie nevyčíslených spoločenských prínosov</t>
  </si>
  <si>
    <t>CBA</t>
  </si>
  <si>
    <t>Výsledky CBA na agregátnej úrovni, výpočet BCR</t>
  </si>
  <si>
    <t>Žiadne</t>
  </si>
  <si>
    <t>Analyza citlivosti</t>
  </si>
  <si>
    <t>Automatický výpočet citlivosti výsledkov CBA na zmeny parametrov</t>
  </si>
  <si>
    <t>Prínosy</t>
  </si>
  <si>
    <t>Výpočet prínosov projektu na základe vstupných parametrov</t>
  </si>
  <si>
    <t>Polia "Ostatné daňové a nedaňové príjmy" (ak projekt také generuje)</t>
  </si>
  <si>
    <t>Výdavky</t>
  </si>
  <si>
    <t>Výpočet výdavkov projektu na základe vstupných parametrov</t>
  </si>
  <si>
    <t>Parametre</t>
  </si>
  <si>
    <t>Vstupné parametre pre jednotlivé moduly/životné situácie: počty podaní, trvania času</t>
  </si>
  <si>
    <t>Všetky relevantné žlté polia</t>
  </si>
  <si>
    <t>TCO</t>
  </si>
  <si>
    <t>Zhrnutie celkových nákladov na vlastníctvo oboch alternatív projektu</t>
  </si>
  <si>
    <t>TCO Alt. 1 - SW</t>
  </si>
  <si>
    <t xml:space="preserve">Náklady na vlastníctvo softvéru alternatívy 1 (AS IS) </t>
  </si>
  <si>
    <t>TCO Alt. 1 - HW</t>
  </si>
  <si>
    <t xml:space="preserve">Náklady na vlastníctvo hardvéru alternatívy 1 (AS IS) </t>
  </si>
  <si>
    <t>TCO Alt. 2 - SW</t>
  </si>
  <si>
    <t xml:space="preserve">Náklady na vlastníctvo softvéru alternatívy 2 (TO BE) </t>
  </si>
  <si>
    <t>TCO Alt. 2 - HW</t>
  </si>
  <si>
    <t>Náklady na vlastníctvo hardvéru alternatívy 2 (TO BE)</t>
  </si>
  <si>
    <t>Rozpočet - vývoj aplikácii</t>
  </si>
  <si>
    <t>Detailný rozpočet pre vývoj navrhovaného riešenia (TO BE)</t>
  </si>
  <si>
    <t>Všetky relevantné žlté polia a časové trvanie projektu</t>
  </si>
  <si>
    <t>Rozpočet - HW a licencie</t>
  </si>
  <si>
    <t>Položkový rozpočet pre nákup licencií a HW (TO BE)</t>
  </si>
  <si>
    <t>Slepý rozpočet</t>
  </si>
  <si>
    <t>Vyplnia dodávateľia, oslovení v procese trhovej konzultácie</t>
  </si>
  <si>
    <t>Zoznam modulov s ich opisom a harmonogramom</t>
  </si>
  <si>
    <t>Faktory</t>
  </si>
  <si>
    <t>Spoločné vstupné parametre pre ocenenie prínosov a výpočet CBA</t>
  </si>
  <si>
    <t>Aktuálne priemerné mzdy v hospodárstve podľa ŠÚ SR, rok začiatku projektu</t>
  </si>
  <si>
    <t>Meranie prínosov</t>
  </si>
  <si>
    <t xml:space="preserve">Slúži na rozdelenie prínosov podľa jednotlivých úradov (ak je to možné) 
a na ex-post monitorovanie dosahovania prínosov. </t>
  </si>
  <si>
    <t xml:space="preserve">V procese prípravy štúdie vyplní iba žlté stĺpce označené ako "Alt. 2", ktoré rozdeľujú prínosy podľa úradov </t>
  </si>
  <si>
    <t>Procesné mapy</t>
  </si>
  <si>
    <t>Procesné mapy súčasného a budúceho stavu biznis procesov.</t>
  </si>
  <si>
    <t>Procesné mapy ako obrázky.</t>
  </si>
  <si>
    <t>Procesy AS IS</t>
  </si>
  <si>
    <t xml:space="preserve">Zdroj dát pre odhad časovej náročnosti súčasných procesov. </t>
  </si>
  <si>
    <t>Relevantné merania podľa procesov a procesných krokov.</t>
  </si>
  <si>
    <t>Procesy TO BE</t>
  </si>
  <si>
    <t xml:space="preserve">Zdroj dát pre odhad časovej náročnosti budúcich procesov. </t>
  </si>
  <si>
    <t>TO BE - AS IS (€, NPV)</t>
  </si>
  <si>
    <t>TO BE - AS IS (€, SUM)</t>
  </si>
  <si>
    <t>Integrácie a migrácie (modulov)</t>
  </si>
  <si>
    <t>Spolu</t>
  </si>
  <si>
    <t>Náklady s DPH</t>
  </si>
  <si>
    <t>Všeobecný materiál</t>
  </si>
  <si>
    <t>N/A</t>
  </si>
  <si>
    <t>IT - CAPEX</t>
  </si>
  <si>
    <t>Aplikácie</t>
  </si>
  <si>
    <t>SW</t>
  </si>
  <si>
    <t>HW</t>
  </si>
  <si>
    <t>IT - OPEX</t>
  </si>
  <si>
    <t>Riadenie projektu</t>
  </si>
  <si>
    <t>Výstupné náklady</t>
  </si>
  <si>
    <t>Finančné prínosy</t>
  </si>
  <si>
    <t>Administratívne poplatky</t>
  </si>
  <si>
    <t>Ostatné daňové a nedaňové príjmy</t>
  </si>
  <si>
    <t>Ekonomické prínosy</t>
  </si>
  <si>
    <t>Občania (€)</t>
  </si>
  <si>
    <t xml:space="preserve">Úradníci (€) </t>
  </si>
  <si>
    <t>Úradníci (FTE)</t>
  </si>
  <si>
    <t>Kvalitatívne prínosy</t>
  </si>
  <si>
    <t>Nevyčíslené spoločenské prínosy</t>
  </si>
  <si>
    <t>(prosíme doplniť)...</t>
  </si>
  <si>
    <t>...</t>
  </si>
  <si>
    <t>Cashflow projektu</t>
  </si>
  <si>
    <t>Čistá súčasná hodnota z projektu</t>
  </si>
  <si>
    <t>Finančný cashflow (s DPH)</t>
  </si>
  <si>
    <t>Ekonomický cashflow (bez DPH)</t>
  </si>
  <si>
    <t>koeficient obdobia</t>
  </si>
  <si>
    <t>Finančná (FNPV)</t>
  </si>
  <si>
    <t>Ekonomická (ENPV)</t>
  </si>
  <si>
    <t>Kumulovaná diskont. návratnosť ENPV</t>
  </si>
  <si>
    <t>Obdobie</t>
  </si>
  <si>
    <t>AS IS</t>
  </si>
  <si>
    <t>TO BE</t>
  </si>
  <si>
    <t>rozdiel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</si>
  <si>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</si>
  <si>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</si>
  <si>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</si>
  <si>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</si>
  <si>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</si>
  <si>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</si>
  <si>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</si>
  <si>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</si>
  <si>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</si>
  <si>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</si>
  <si>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SPOLU</t>
  </si>
  <si>
    <t>Výsledok CBA</t>
  </si>
  <si>
    <t>Výsledná hodnota</t>
  </si>
  <si>
    <t>Minimálna hodnota</t>
  </si>
  <si>
    <t>BCR</t>
  </si>
  <si>
    <t>pomer prínosov a nákladov</t>
  </si>
  <si>
    <t>FIRR</t>
  </si>
  <si>
    <t>finančná vnútorná výnosová miera (%)</t>
  </si>
  <si>
    <t>Aho</t>
  </si>
  <si>
    <t>-</t>
  </si>
  <si>
    <t>EIRR</t>
  </si>
  <si>
    <t>ekonomická vnútorná výnosová miera (%)</t>
  </si>
  <si>
    <t>FNPV</t>
  </si>
  <si>
    <t>finančná čistá súčasná hodnota (eur s DPH)</t>
  </si>
  <si>
    <t>ENPV</t>
  </si>
  <si>
    <t>ekonomická čistá súčasná hodnota (eur bez DPH)</t>
  </si>
  <si>
    <t>Zvýšenie nákladov - TCO celkovo</t>
  </si>
  <si>
    <t>Zvýšenie CAPEX</t>
  </si>
  <si>
    <t>Zníženie kvalitatívnych prínosov</t>
  </si>
  <si>
    <t>Zníženie počtu podaní v budúcom stave</t>
  </si>
  <si>
    <t>Zníženie očakávaného ušetreného času úradníka</t>
  </si>
  <si>
    <t>Zníženie očakávaného ušetreného času používateľa</t>
  </si>
  <si>
    <t>%</t>
  </si>
  <si>
    <t>Priame prínosy</t>
  </si>
  <si>
    <t>Nepriame prínosy</t>
  </si>
  <si>
    <t>Prínosy spolu</t>
  </si>
  <si>
    <t>Cena ušetreného času používateľa</t>
  </si>
  <si>
    <t>Kvalitatívne prínosy vo finančnom vyjadrení</t>
  </si>
  <si>
    <t>Cena ušetreného času úradníka</t>
  </si>
  <si>
    <t>NPV</t>
  </si>
  <si>
    <t>Všetky prínosové položky sú automaticky vypočítané na základe údajov uvedených v záložkách TCO, spotrebované cloudové služby a Parametre - Agendové IS</t>
  </si>
  <si>
    <t>Náklady IT systém</t>
  </si>
  <si>
    <t>Variabilné výdavky</t>
  </si>
  <si>
    <t>Výdavky spolu</t>
  </si>
  <si>
    <t>SW a Aplikácie - Výstupné náklady</t>
  </si>
  <si>
    <t>Všetky výdavkové položky sú automaticky vypočítané na základe údajov uvedených v záložkách TCO a Parametre - Agendové IS</t>
  </si>
  <si>
    <t>eSlužby ZŠ, SŠ</t>
  </si>
  <si>
    <t>eSlužby VŠ</t>
  </si>
  <si>
    <t>eSlužby Pedagóg</t>
  </si>
  <si>
    <t>Pôžičky FNP</t>
  </si>
  <si>
    <t>Koncová služba</t>
  </si>
  <si>
    <t>P1370 - Overenie dochádzky žiakov ZŠ a SŠ</t>
  </si>
  <si>
    <t>P1371 Požiadavka na overenie vzdelania a kvalifikácie</t>
  </si>
  <si>
    <t>P1373 Požiadavka na overenie štatútu žiaka/poslucháča</t>
  </si>
  <si>
    <t>P1374 Overenie dosiahnutého vzdelania a kvalifikácie na VŠ</t>
  </si>
  <si>
    <t>P1375 Overenie štatútu študenta vysokej školy</t>
  </si>
  <si>
    <t>P1382 Overenie pedagogických, odborných a ostatných zamestnanov v regionálnom školstve v centrálnom registri</t>
  </si>
  <si>
    <t>P1383 Overovanie pedagogickej spôsobilosti pre pedagogických zamestnancov</t>
  </si>
  <si>
    <t>P1377/P0789 Podanie žiadosti o pôžičku pre študentov/pedagógov z Fondu na podporu vzdelávania</t>
  </si>
  <si>
    <t>Načítanie obratov do IS a párovanie splátok</t>
  </si>
  <si>
    <t>Odpis pôžičiek</t>
  </si>
  <si>
    <t>Zaslanie upozornenia na začiatok splatnosti</t>
  </si>
  <si>
    <t>Spracovanie preplatkov</t>
  </si>
  <si>
    <t>Spracovanie odkladov splátok</t>
  </si>
  <si>
    <t>Zaslanie oznámenia o poslednej splátke</t>
  </si>
  <si>
    <t>Aplikačný modul - SW a Aplikácie</t>
  </si>
  <si>
    <t>Per žiadosť</t>
  </si>
  <si>
    <t>Per proces</t>
  </si>
  <si>
    <t>Aplikačný modul - HW</t>
  </si>
  <si>
    <t>Parameter</t>
  </si>
  <si>
    <t>Jednotka</t>
  </si>
  <si>
    <t>Rozdiel</t>
  </si>
  <si>
    <t>Počet podaní / volaní</t>
  </si>
  <si>
    <t>počet / rok</t>
  </si>
  <si>
    <r>
      <t xml:space="preserve">Materiálové náklady na 1 podanie </t>
    </r>
    <r>
      <rPr>
        <i/>
        <sz val="11"/>
        <color theme="1"/>
        <rFont val="Calibri"/>
        <family val="2"/>
        <charset val="238"/>
        <scheme val="minor"/>
      </rPr>
      <t xml:space="preserve">(napr. Poštovné (1,25 EUR)+Tlač (0,02 EUR)+Papier (0,01 EUR)+Obálka (0,03 EUR). Zhotoviteľ štúdie doplní skutočné náklady)
</t>
    </r>
  </si>
  <si>
    <t>EUR</t>
  </si>
  <si>
    <t>Výška administratívneho poplatku</t>
  </si>
  <si>
    <t>Trvanie spracovania podania (ušetrený čas úradníka)</t>
  </si>
  <si>
    <t>človeko-hod.</t>
  </si>
  <si>
    <t>Čas potrebný na vypracovanie a doručenie podania (ušetrený čas používateľa)</t>
  </si>
  <si>
    <t>hod.</t>
  </si>
  <si>
    <t>FTE úradník</t>
  </si>
  <si>
    <t>FTE</t>
  </si>
  <si>
    <t>Cena ušetreného času používateľa
(S pravidlom polovice)</t>
  </si>
  <si>
    <t>Materiálové náklady</t>
  </si>
  <si>
    <t>Administratívny poplatok</t>
  </si>
  <si>
    <t>Celkové náklady na vlastníctvo (TCO)</t>
  </si>
  <si>
    <t>Náklady na budúce riešenie</t>
  </si>
  <si>
    <t>Rok</t>
  </si>
  <si>
    <t>SW produkty - sumár obstaranie</t>
  </si>
  <si>
    <t>SW produkty - sumár prevádzka</t>
  </si>
  <si>
    <t>Aplikácie - sumár obstaranie</t>
  </si>
  <si>
    <t>Aplikácie - sumár prevádzka</t>
  </si>
  <si>
    <t>SW a Aplikácie - výstupné náklady</t>
  </si>
  <si>
    <t>HW sumár obstaranie</t>
  </si>
  <si>
    <t>HW sumár prevádzka</t>
  </si>
  <si>
    <t xml:space="preserve">Spolu </t>
  </si>
  <si>
    <t>Náklady na existujúce riešenie
(pôvodné riešenie pred realizáciou projektu OP II), ktoré bolo nahradené</t>
  </si>
  <si>
    <t>Rozdiel v nákladoch medzi existujúcim a navrhovaným riešením</t>
  </si>
  <si>
    <t>HW (aj systémový SW) sumár obstaranie</t>
  </si>
  <si>
    <t>HW (aj systémový SW) sumár prevádzka</t>
  </si>
  <si>
    <t>Náklady na obstaranie a prevádzku SW</t>
  </si>
  <si>
    <t>Názov</t>
  </si>
  <si>
    <t>Účet/skupina výdavkov</t>
  </si>
  <si>
    <t>Kód EKO klasifikácie</t>
  </si>
  <si>
    <t>Prevádzka vytvoreného riešenia</t>
  </si>
  <si>
    <t>SW produkty</t>
  </si>
  <si>
    <t>Poplatky vlastníkovi SW produktu - údržba / support k licenciám</t>
  </si>
  <si>
    <t>511 Opravy a udržiavanie</t>
  </si>
  <si>
    <t>Upgrade SW produktu</t>
  </si>
  <si>
    <t>013 Softvér</t>
  </si>
  <si>
    <t>FnPV</t>
  </si>
  <si>
    <t>Poplatky za udržanie funkčnosti / dostupnosti aplikácie / update</t>
  </si>
  <si>
    <t>FnPV+RIS</t>
  </si>
  <si>
    <t>Aplikačná podpora / helpdesk</t>
  </si>
  <si>
    <t>518 Ostatné služby</t>
  </si>
  <si>
    <t>Rozvoj - doplnenie funkcionality aplikácie / upgrade</t>
  </si>
  <si>
    <t>Personálne náklady spojené s prevádzkou SW produktu a aplikácie</t>
  </si>
  <si>
    <t>521 Mzdové výdavky</t>
  </si>
  <si>
    <t>Školenia spojené so SW a aplikáciou</t>
  </si>
  <si>
    <t>Náklady na obstaranie a prevádzku HW</t>
  </si>
  <si>
    <t>Prevádzka riešenia</t>
  </si>
  <si>
    <t>Poplatky dodávateľovi podpory HW - údržba/maintenance</t>
  </si>
  <si>
    <t>Upgrade HW</t>
  </si>
  <si>
    <t>022 Samostatné hnuteľné veci
 a súbory hnuteľných vecí</t>
  </si>
  <si>
    <t>Náklady na priestory, energie</t>
  </si>
  <si>
    <t>Personálne náklady spojené s prevádzkou HW</t>
  </si>
  <si>
    <t>Školenia spojené s HW</t>
  </si>
  <si>
    <t>Portál elektronických služieb</t>
  </si>
  <si>
    <t>Dispečer elektronických služieb</t>
  </si>
  <si>
    <t>Register služieb</t>
  </si>
  <si>
    <t>FnPV systém</t>
  </si>
  <si>
    <t>Vytvorenie riešenia - obstaranie</t>
  </si>
  <si>
    <t>Obstaranie, inštalácia SW produktu vrátane licencie k SW</t>
  </si>
  <si>
    <t>Vytvorenie aplikácie</t>
  </si>
  <si>
    <t>Riadenie a publicita</t>
  </si>
  <si>
    <t>Projektové riadenie</t>
  </si>
  <si>
    <t>Publicita a informovanosť</t>
  </si>
  <si>
    <t>637003/637004</t>
  </si>
  <si>
    <t>Technologické požiadavky</t>
  </si>
  <si>
    <t>Zmluvné poplaky</t>
  </si>
  <si>
    <t>Aplikačný modul 1</t>
  </si>
  <si>
    <t>Aplikačný modul 2</t>
  </si>
  <si>
    <t>Aplikačný modul 3</t>
  </si>
  <si>
    <t>Aplikačný modul N</t>
  </si>
  <si>
    <t>"Out of scope" - HW nesúvisiaci priamo s projektom</t>
  </si>
  <si>
    <t>Obstaranie</t>
  </si>
  <si>
    <t>Nákup, inštalácia a sprevádzkovanie HW 
vrátane systémového SW</t>
  </si>
  <si>
    <t>Nákup, inštalácia a sprevádzkovanie HW
 vrátane systémového SW</t>
  </si>
  <si>
    <t>112 Zásoby</t>
  </si>
  <si>
    <t>Výstup/funkcionalita projektu</t>
  </si>
  <si>
    <t>Popis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</si>
  <si>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</si>
  <si>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</si>
  <si>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</si>
  <si>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</si>
  <si>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</si>
  <si>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</si>
  <si>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</si>
  <si>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</si>
  <si>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</si>
  <si>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</si>
  <si>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</si>
  <si>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</si>
  <si>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</si>
  <si>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</si>
  <si>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</si>
  <si>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</si>
  <si>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</si>
  <si>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</si>
  <si>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</si>
  <si>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</si>
  <si>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</si>
  <si>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</si>
  <si>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</si>
  <si>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</si>
  <si>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Počet dní interné</t>
  </si>
  <si>
    <t>Počet dní externé</t>
  </si>
  <si>
    <t>Pocet FTE interne</t>
  </si>
  <si>
    <t>Pocet FTE externe</t>
  </si>
  <si>
    <t>Rate FTE interné</t>
  </si>
  <si>
    <t>Rate FTE externé</t>
  </si>
  <si>
    <t>Suma interné</t>
  </si>
  <si>
    <t>Suma externé</t>
  </si>
  <si>
    <t>Analýza a dizajn</t>
  </si>
  <si>
    <t>Analýza a dizajn bude obsahovať najmä prípravu výstupov - Špecifikácia požiadaviek a Detailná špecifikácia riešenia; Integračná dokumentácia na úrovni návrhu riešenia; Bezpečnostný projekt. V rámci aktivity sú min. vyžadované pozície - IT analytik, IT architekt, Špecialista pre bezpečnosť IT a Projektový manažér</t>
  </si>
  <si>
    <t>Centrálne role (prijímateľ MSSVaS)</t>
  </si>
  <si>
    <t>Limit</t>
  </si>
  <si>
    <t>IT architekt</t>
  </si>
  <si>
    <t>Špecialista bezpečnosť IT</t>
  </si>
  <si>
    <t>PM IT projektu</t>
  </si>
  <si>
    <t>Portál (prijímateľ MSSVaS)</t>
  </si>
  <si>
    <t>IT analytik</t>
  </si>
  <si>
    <t>Dispečer elektronických služieb  (prijímateľ MSSVaS)</t>
  </si>
  <si>
    <t>Školiteľ pre IT systémy</t>
  </si>
  <si>
    <t>Register služieb  (prijímateľ MSSVaS)</t>
  </si>
  <si>
    <t>FnPV systém (partner FNPV)</t>
  </si>
  <si>
    <t>Nákup krabicového SW (COTS)</t>
  </si>
  <si>
    <t xml:space="preserve">Licencie pre platformový SW - BPM a MDM </t>
  </si>
  <si>
    <t>(služba PaaS Vládneho cloudu)</t>
  </si>
  <si>
    <t>Implementácia</t>
  </si>
  <si>
    <t>Implementácia bude okrem samotnej implementácie obsahovať aj vytvorenie Technického integračného návrhu, resp. aktualizáciu Integračnej dokumentácie alebo Detailnej špecifikácie riešenia. V rámci aktivity sú min. vyžadované pozície - IT programátor / vývojár a špecialista na bezpečnosť ID</t>
  </si>
  <si>
    <t>IT programator</t>
  </si>
  <si>
    <t>Testovanie</t>
  </si>
  <si>
    <t>Testovanie bude obsahovať najmä vytvorenie Testovacej stratégie / plánu testov a Testovacích scenárov (prípadov) a realizáciu samotného testovania podľa požiadaviek na OP II projekty. Súčasťou bude aj používateľská dokumentácia, školiace materiály, školenia. Pôjde najmä o testovanie funkčné, regresné, bezpečnostné, integračné, záťažové, testovanie prístupnosti systému. V rámci aktivity sú vyžadované pozície - IT tester a školitel pre IT systémy a zároveň IT programátor a IT analytik na riešenie hlásení z testovania</t>
  </si>
  <si>
    <t>IT tester</t>
  </si>
  <si>
    <t>Nasadenie</t>
  </si>
  <si>
    <t>Nasadenie (Rollout), ktorého súčasťou bude Dohoda o úrovni poskytovaných služieb pre integráciu (tzv. integračná SLA) Aktivita končí schválením integračného akceptačného protokolu nasadenia do prevádzky V rámci aktivity sú vyžadované pozície - špecialista pre HW/infraštruktúru, IT programátor aj IT tester na riešenie problémov a hlásení vyplývajúcich z aktivity nasadzovania</t>
  </si>
  <si>
    <t>Špecialista pre infraštruktúry/HW špecialista</t>
  </si>
  <si>
    <t>Podporné aktivity</t>
  </si>
  <si>
    <t>Aktivity v zmysle Príručky žiadateľa NFOP. Podporné aktivity začnú ešte pred realizáciou hlavných aktivít</t>
  </si>
  <si>
    <t>INDIKATÍVNY ROZPOČET SPOLU</t>
  </si>
  <si>
    <t>Poznámka: Na QA ÚPPVII sú vyčlenené 3%:</t>
  </si>
  <si>
    <t>Popis modulov</t>
  </si>
  <si>
    <t>Analýza a dizajn, implementácia, testovanie, nasadenie funkcionalít nevyhnutných pre Portál elektronických služieb - prezentácia, zastupovanie, zdieľanie, vybavenie (pre detail viď ŠU). Portál elektronických služieb zabezpečí alternatívnu cestu k používaniu elektronických služieb poskytovaných MŠVVaŠ SR a jeho PRO. Hlavnou úlohou portálu elektronických služieb bude zabezpečenie prevádzky pre vstupy elektronických služieb MŠVVaŠ SR, realizovaných v rámci reformného zámeru pre Elektronické služby MŠVVaŠ SR a poskytovanie výstupov z elektronických služieb. Realizácia a prevádza portálu el. služieb je legislatívne ohraničená  zákonom č. 305/2013 Z. z. o elektronickej podobe výkonu pôsobnosti orgánov verejnej moci a o zmene a doplnení niektorých zákonov (zákon o e-Governmente) a zákonom 275/2006 o informačných systémoch verejnej správy a o zmene a doplnení niektorých zákonov a štandardami  definovanými výnosom MF SR č. 137/2015 Z. z. o štandardoch pre informačné systémy verejnej správy. Súčasne bude v súlade s dizajn manuálom pre štátne portálové riešenia, ktorý bol odsúhlasený štandardizačnou komisiou. Služby budú publikované v lokátore služieb ÚPVS, práca s nimi bude však na Portáli elektronických služieb, kde budú implementované obrazovky spĺňajúce štandardy pre elektronické formuláre s maximalizovaním komfortu pre používateľov (napr. ako https://www.employment.gov.sk/sk/formulare-ziadosti/). Jednotlivé formuláre na portáli budú predvypĺňané a validované online pre urýchlenie práce a zvýšenie používateľskéh zážitku. V rámci realizácie špecializovaného portálu je plánované využitie spoločných modulov architektúry UPVS, tak ako to je požadované v zákone 305/2013 Z.z., a to: 
- autentifikačného modulu (ÚPVS IAM) 
Modul bude integrovaný na: 
- autentifikačného modulu RIAM (pre potreby autorizácie zahraničných študentov, študentov bez OP, zákonných zástupcov)
- Dispečer elektronických služieb - dopytovanie backend komponentov pre získanie údajov alebo sprocesovanie žiadostí
- mikroslužby Registra elektronických služieb pre potreby predvypĺňania údajov a ich validácie (napr. údaje o identite, číselníkové údaje)</t>
  </si>
  <si>
    <t>Analýza a dizajn, implementácia, testovanie, nasadenie funkcionalít nevyhnutných pre Dispečer elektronických služieb - zabezpečí vnútorné spracovanie a orchestráciu údajov jednotlivých procesov elektronických služieb, spracovanie požiadaviek a doručenie výstupov (pre detail viď ŠU). Informačný systém Dispečer elektronických služieb zabezpečí vnútorné spracovanie a orchestráciu údajov jednotlivých procesov elektronických služieb MŠVVaŠ SR, spracovanie požiadaviek a doručenie výstupov. Jadro IS je vhodné budovať na báze BPM engine, ktorá zabezpečuje jednoduchý návrh a modifikáciu procesu spracovania konkrétnych úloh v rámci spracovania elektronických služieb a sledovanie a monitoring procesných aktivít. Modul sa skladá z viacerých submodulov: .Evidencia bázových údajov .Workflow a schvaľovanie -  základný modul systému, zabezpečuje vykonávanie nadefinovaných procesov spracovania elektronických služieb. Pre každú elektronickú službu je definovaný špecifický proces vykonávania postupu spracovania žiadosti elektronickej služby .Riadenie a monitoring procesov - modul riadenie a monitoring procesov umožní detailné zobrazenie procesu vrátane jeho grafickej interpretácie .Notifikácie a eskalácia - zabezpečuje automatizované zasielanie notifikácií určenému používateľovi na základe nastavenej úrovne a type eskalácie. .Reporting, analytika a kontrola na úrovni procesov .Integračné rozhrania na rezortné a mimorezortné IS .Dispečer eletronických služieb umožní rozhodovanie o plne automatizovanom vybavení služby alebo jej smerovanie na manuálne dokončenie a pre manuálne dokončenie poskytne príslušné obrazovky špecializovaným používateľom. Ďalej rieši komplexnú oblasť integrácie a orchestrácie procesov medzi všetkými zapojenými systémami. Zabezpečuje komunikáciu pre služby medzi portálom a registrami elektronických služieb, ISVS Pôžičky FnPV, konzumáciu dát z CSRÚ (RFO, FPO, RA) a ich referencovanie do registra elektronických služieb, rezortnú registratúru a tiež RIAM. Má za úlohu v rámci SOA architektúry riešiť integrácie, orchestráciu a riadenie biznis procesov. Každá koncová služba pozostáva z viacerých činností a služieb (detailne uvedené v rámci procesných diagramov, ktoré sú súčasťou CBA) v samotnom procese elektronickej žiadosti: overenie žiadateľa, overenie oprávnení, overiť v registri (nie je jeden register, podľa typu žiadostí musí údaje pozbierať z viacerých zdrojov – teda integrácia na jeden systém znamená integráciu viacerých služieb podľa formy komunikácie služby), generovanie výstupu, zobrazenie výstupu.</t>
  </si>
  <si>
    <t>Registre elektronických služieb</t>
  </si>
  <si>
    <t>Analýza a dizajn, implementácia, testovanie, nasadenie funkcionalít nevyhnutných pre Registre elektronických služieb - poskytuje vstupy pre spracovanie procesov elektronických služieb, realizovaných v rámci reformného zámeru pre Elektronické služby. Jeho úlohou je evidencia a agregácia všetkých podkladových údajov do podoby dátovej základňe (pre detail viď ŠU). Informačný systém Registre elektronických služieb MŠVVaŠ SR  poskytuje vstupy pre spracovanie procesov elektronických služieb MŠVVaŠ SR, realizovaných v rámci reformného zámeru pre Elektronické služby MŠVVaŠ SR. Jeho úlohou je evidencia a agregácia všetkých podkladových údajov do podoby dátovej základňe - registrov potrebných pre realizáciu elektronických služieb v rámci regionálneho a vysokého školstva (zdrojom budú údaje spracované v IS RIS) ako aj údajov v rámci VŠ (zdrojom budú registre VŠ). Dôvodom je zachovanie súčasných riešení, ktoré plnia podporu príslušným agendám ako v AI-IS a eliminácia rizík a nákladov ich zásadného prerábania. Uvedené registre budú obsahovať všetky údaje zo všetkých dostupných systémov ako jeden celok. V rámci registra bude riešený aj referenčný register žiakov/študentov/poslucháčov. V súčasných registroch DŽP nie sú evidované historické údaje pre potreby ich poskytovania a nie sú evidované všetky potrebné atribúty pre definované služby a prípady použitia. IS zabezpečí nasledovnú funkcionalitu: .Priebežné spracovanie prijímaných údajov, predpokladaný časový interval, bude konfigurovateľný od režimu ""online"" až po dávkové spracovanie, napr. v hodinách .Referencovanie údajov navzájom .Uchovávanie údajov aj čo sa týka historických nadväzností evidovaných údajov .Vizuálny grafický prístup pre správcov údajov s možnosťami reportingu, analytiky a kontroly na úrovni údajov .Poskytovanie mikroslužieb pre bežiace procesy / volania služieb .Poskytovanie mikroslužieb pre portálovú časť (predvypĺňanie, kontroly) Modul bude integrovaný na: .Dispečer elektronických služieb - vybavovanie služieb .Portál elektronických služieb - predvypĺňanie a kontroly v rámci formulárov .RIS .Centrálny register študentov VŠ, .Centrálny register zamestnancov VŠ .Manažment údajov a dátové integrácie (MDM)</t>
  </si>
  <si>
    <t>IS Fondu na podporu vzdelávania</t>
  </si>
  <si>
    <t>Analýza a dizajn, implementácia, testovanie, nasadenie funkcionalít nevyhnutných pre IS Fondu na podporu vzdelávania - podpora back-office a front-office funkcií (pre detail viď ŠU). Systém bude slúžiť pre internú potrebu FnPV na správu existujúcich pôžičiek a úverových účtov v celom životnom cykle od elektronickej žiadosti až po evidenciu a správu bežiacich pôžičiek, ich splátok až po uzavretie prípadu. Bude tiež umožňovať spracovanie elektronických žiadostí o pôžičky pre študentov a pedagogických pracovníkov, prípadne ďalšie osoby, ktorým bude umožnená žiadosť o pôžičku v súlade s legislatívou. Prístup do úverových účtov žiadateľov bude umožnený aj prostredníctvom online prístupu, kde si bude môcť používateľ požiadať o ďalšie zmeny súvisiace napr. so zmenou trvalej adresy, priezviska a iné. Systém bude poskytovať back-office podporu pre spracovanie žiadosti o pôžičku pre študentov a pedagogických pracovníkov z Fondu na podporu vzdelávania vrátane funkcionalít ERP systému ako sú omeškania, evidencia a sledovanie splátok, upomienkovací proces, notifikácie.</t>
  </si>
  <si>
    <t>Položka</t>
  </si>
  <si>
    <t>Merná jednotka</t>
  </si>
  <si>
    <t>Počet</t>
  </si>
  <si>
    <t>Jednotková cena (eur)</t>
  </si>
  <si>
    <t>Celková suma (eur)</t>
  </si>
  <si>
    <t>Zdroj ceny</t>
  </si>
  <si>
    <t>Talend MDM - production</t>
  </si>
  <si>
    <t>licencia / rok</t>
  </si>
  <si>
    <t>Cenník ÚPVII v rámci služieb PaaS MDM</t>
  </si>
  <si>
    <t>Talend MDM - non-production</t>
  </si>
  <si>
    <t>Middleware - BPM platforma</t>
  </si>
  <si>
    <t>licencia</t>
  </si>
  <si>
    <t>Prieskum trhu - záložka "BPM"</t>
  </si>
  <si>
    <t>Middleware - BPM platforma support</t>
  </si>
  <si>
    <t>Oracle Database Enterprise</t>
  </si>
  <si>
    <t>licencia / počet CPU</t>
  </si>
  <si>
    <t>UHP podklad</t>
  </si>
  <si>
    <t>Criteria​</t>
  </si>
  <si>
    <t>Microsoft</t>
  </si>
  <si>
    <t>SAS</t>
  </si>
  <si>
    <t>Red Hat Jboss BPM</t>
  </si>
  <si>
    <t>Bizagi</t>
  </si>
  <si>
    <t>Average</t>
  </si>
  <si>
    <t>TEST</t>
  </si>
  <si>
    <t>PROD (min)</t>
  </si>
  <si>
    <t>PROD</t>
  </si>
  <si>
    <r>
      <t>Initial Setup Effort</t>
    </r>
    <r>
      <rPr>
        <sz val="11"/>
        <color theme="1"/>
        <rFont val="Arial Narrow"/>
        <family val="2"/>
        <charset val="238"/>
      </rPr>
      <t>​</t>
    </r>
  </si>
  <si>
    <r>
      <t>Yearly License Cost</t>
    </r>
    <r>
      <rPr>
        <sz val="11"/>
        <color theme="1"/>
        <rFont val="Arial Narrow"/>
        <family val="2"/>
        <charset val="238"/>
      </rPr>
      <t>​</t>
    </r>
  </si>
  <si>
    <r>
      <t>Yearly Maintenance Cost</t>
    </r>
    <r>
      <rPr>
        <sz val="11"/>
        <color theme="1"/>
        <rFont val="Arial Narrow"/>
        <family val="2"/>
        <charset val="238"/>
      </rPr>
      <t>​</t>
    </r>
  </si>
  <si>
    <t>BRMS</t>
  </si>
  <si>
    <t>áno</t>
  </si>
  <si>
    <t>BPMS</t>
  </si>
  <si>
    <t>nie</t>
  </si>
  <si>
    <t>Activity monitoring</t>
  </si>
  <si>
    <t>TALEND MDM PaaS</t>
  </si>
  <si>
    <t>Licencia/rok</t>
  </si>
  <si>
    <t>Suma</t>
  </si>
  <si>
    <t>MDM platform (balik 3 users) - 1 rok / 49,500€</t>
  </si>
  <si>
    <r>
      <t xml:space="preserve">Talend MDM Platform </t>
    </r>
    <r>
      <rPr>
        <sz val="12"/>
        <color rgb="FF000000"/>
        <rFont val="Calibri"/>
        <family val="2"/>
      </rPr>
      <t>(incl. 3 Named users and Platinum Support Services)</t>
    </r>
  </si>
  <si>
    <t>MDM platform (balik 5 users) - 1 rok / 69,500€</t>
  </si>
  <si>
    <r>
      <t xml:space="preserve">Talend MDM Platform </t>
    </r>
    <r>
      <rPr>
        <sz val="12"/>
        <color rgb="FF000000"/>
        <rFont val="Calibri"/>
        <family val="2"/>
      </rPr>
      <t>(incl. 5 Named users and Platinum Support Services)</t>
    </r>
  </si>
  <si>
    <t>+</t>
  </si>
  <si>
    <r>
      <t xml:space="preserve">Talend Platform – MDM Production Runtime – </t>
    </r>
    <r>
      <rPr>
        <sz val="12"/>
        <color rgb="FF000000"/>
        <rFont val="Calibri"/>
        <family val="2"/>
      </rPr>
      <t>per Core limitation (4 Cores) – incl. Platinum Support Services</t>
    </r>
  </si>
  <si>
    <t>MDM production runtime - 1 rok / 25,000€</t>
  </si>
  <si>
    <r>
      <t xml:space="preserve">Data Services Platform Production Runtime – </t>
    </r>
    <r>
      <rPr>
        <sz val="12"/>
        <color rgb="FF000000"/>
        <rFont val="Calibri"/>
        <family val="2"/>
      </rPr>
      <t>per Core Limitation (4 Cores) incl. Platinum Support Services</t>
    </r>
  </si>
  <si>
    <t>(ak aj ESB services pre runtime - 1 rok / 10,000€)</t>
  </si>
  <si>
    <r>
      <t xml:space="preserve">Talend Platform – MDM Non-Production Runtime- </t>
    </r>
    <r>
      <rPr>
        <sz val="12"/>
        <color rgb="FF000000"/>
        <rFont val="Calibri"/>
        <family val="2"/>
      </rPr>
      <t>per Core Limitation (4 Cores) – incl. Platinum Support</t>
    </r>
  </si>
  <si>
    <r>
      <t xml:space="preserve">Data Services Platform Non-Production Runtime – </t>
    </r>
    <r>
      <rPr>
        <sz val="12"/>
        <color rgb="FF000000"/>
        <rFont val="Calibri"/>
        <family val="2"/>
      </rPr>
      <t>per Core Limitation (4 Cores) – incl. Platinum Support Services</t>
    </r>
  </si>
  <si>
    <t>MDM non-production runtime - 1 rok / 12,500€</t>
  </si>
  <si>
    <r>
      <t xml:space="preserve">Talend Data Preparation Add-on </t>
    </r>
    <r>
      <rPr>
        <sz val="12"/>
        <color rgb="FF000000"/>
        <rFont val="Calibri"/>
        <family val="2"/>
      </rPr>
      <t>(10 Named Users)</t>
    </r>
  </si>
  <si>
    <t>(ak aj ESB services pre non-runtime - 1 rok / 5,000€)</t>
  </si>
  <si>
    <r>
      <t xml:space="preserve">Data Stewardship Add-On </t>
    </r>
    <r>
      <rPr>
        <sz val="12"/>
        <color rgb="FF000000"/>
        <rFont val="Calibri"/>
        <family val="2"/>
      </rPr>
      <t>(5 Named Users)</t>
    </r>
  </si>
  <si>
    <t>Data stewardship (dostupny len balik 5 users) - 1 rok / 13,500€</t>
  </si>
  <si>
    <t>Data preparation (dostupny len balik 10 users)- 1 rok / 9,000€</t>
  </si>
  <si>
    <r>
      <t xml:space="preserve">Talend MetaData Manager – </t>
    </r>
    <r>
      <rPr>
        <sz val="12"/>
        <color rgb="FF000000"/>
        <rFont val="Calibri"/>
        <family val="2"/>
      </rPr>
      <t>incl. 5 Named Users</t>
    </r>
  </si>
  <si>
    <t>SPOLU S DPH</t>
  </si>
  <si>
    <t>Vyplní spracovateľ projektu</t>
  </si>
  <si>
    <t>Vyplní oslovený dodávateľ</t>
  </si>
  <si>
    <t>Riešenie navrhované obstarávateľom</t>
  </si>
  <si>
    <t>Alternatívne riešeine
(nepovinné)</t>
  </si>
  <si>
    <t>Nákup krabicového SW</t>
  </si>
  <si>
    <t>Dodatočná úprava krabicového SW / Vývoj riešenia</t>
  </si>
  <si>
    <t>Výstup/funkcionalita projektu
(všetky náklady vrátane analýzy, dizajnu, testovania a nasadenia)</t>
  </si>
  <si>
    <t>Popis
(Vrátane zdôvodnenia zvoleného technologického variantu - IaaS, PaaS, vývoj vlastnej aplikácie, COTS riešenie)</t>
  </si>
  <si>
    <t>Názov SW</t>
  </si>
  <si>
    <t>počet kusov</t>
  </si>
  <si>
    <t>Cena za kus</t>
  </si>
  <si>
    <t>Cena spolu</t>
  </si>
  <si>
    <t>Minimálny počet MD</t>
  </si>
  <si>
    <t>Maximálny počet MD</t>
  </si>
  <si>
    <t>Priemerný MD rate</t>
  </si>
  <si>
    <t>Minimálna suma</t>
  </si>
  <si>
    <t>Maximálna suma</t>
  </si>
  <si>
    <t>Ročná prevádzka celého systému (SLA) vrátane zmenových konaní</t>
  </si>
  <si>
    <t>Vysvetlenie rozptylu medzi minimálnou a maximálnou sumou 
(nepovinné)</t>
  </si>
  <si>
    <t>Popis zmien v alternatívnom riešení
(nepovinné)</t>
  </si>
  <si>
    <t xml:space="preserve">Projektové riadenie </t>
  </si>
  <si>
    <t>Hodnota</t>
  </si>
  <si>
    <t>Životnosť projektu (t)</t>
  </si>
  <si>
    <t>Referenčné obdobie je počet rokov, na ktorý sa vo finančnej analýze (analýze nákladov a výnosov) uvádzajú predpovede. Predpovede týkajúce sa budúceho trendu projektu by sa mali formulovať na obdobie, ktoré je primerané jeho ekonomicky užitočnému trvaniu a ktoré je dosť dlhé na to, aby zahŕňalo jeho pravdepodobné dlhodobejšie dosahy. Ide o časové obdobie, kedy je možné overiť úspešnosť investície. Trvanie sa mení podľa povahy investície. Referenčný časový horizont v rokoch podľa sektorov je uvedený podľa prílohy 1 Delegovaného nariadenia Komisie (EÚ) 480/2014 z 3. marca 2014, ktorým sa dopĺňa všeobecné nariadenie.</t>
  </si>
  <si>
    <t>rok</t>
  </si>
  <si>
    <t>Referenčná diskontná sadzba (i)</t>
  </si>
  <si>
    <t xml:space="preserve">Diskontná sadzba, ktorá sa má používať vo finančnej analýze má informovať investora o alternatívnych kapitálových nákladoch. Môže sa za ňu považovať ušlý výnos najlepšieho alternatívneho projektu.
V prípade verejných investičných projektov spolufinancovaných z fondov sa stanovuje 4 % finančná diskontná sadzbu pre výpočet čistej súčasnej hodnoty investície v stálych cenách roku predloženia žiadosti o NFP.
</t>
  </si>
  <si>
    <t>Sociálna diskontná sadzba (r)</t>
  </si>
  <si>
    <t>Cieľom CBA je preukázať pri štrukturálne významných investíciách, že ekonomická čistá súčasná hodnota za dané obdobie a pri stanovenej sociálnej diskontnej sadzbe je kladná.</t>
  </si>
  <si>
    <t>Diskontovanie odhadovaných nákladov a prínosov: keď sa odhadne tok ekonomických nákladov a prínosov, mala by sa uplatniť štandardná diskontovaná metodika peňažného toku pomocou sociálnej diskontnej sadzby</t>
  </si>
  <si>
    <t>Priemerná mzda vo verejnej správe (aktuálna, W_ps)</t>
  </si>
  <si>
    <t>Priemerná mesačná hrubá mzda vo verejnej správe za 1. - 4. Q./2017 (obdobie aktualizovať k času predloženia dokumentu), podľa ŠÚ SR</t>
  </si>
  <si>
    <t>Osobné náklady (Cper)</t>
  </si>
  <si>
    <t xml:space="preserve">Cper = (W_ps * Odvody) / Fond pracovnej doby. Odvody (SP, ZP, DP) sú 35,2%“. Osobné náklady sú faktorom prevádzkových variabilných nákladov.
</t>
  </si>
  <si>
    <t>EUR/hod</t>
  </si>
  <si>
    <t xml:space="preserve">Priemerná mzda v NH (Cperc) </t>
  </si>
  <si>
    <t>Priemerná mesačná hrubá mzda v národnom hospodárstve SR za 1. - 4. Q./2017 (obdobie aktualizovať k času predloženia dokumentu), podľa ŠÚ SR</t>
  </si>
  <si>
    <t>Fond pracovnej doby - VS (FPDvs)</t>
  </si>
  <si>
    <t>Rok 2019 má dokopy 250 pracovných dní, t.j. 1875 pracovných hodín. S platenými sviatkami má rok 261 pracovných dní, t.j. 1957.5 pracovných hodín. 7,5 hodinový pracovný čas (obdobie aktualizovať k času predloženia dokumentu), podľa https://calendar.zoznam.sk/worktime-sksk.php?hy=2019</t>
  </si>
  <si>
    <t>hod/rok</t>
  </si>
  <si>
    <t>Fond pracovnej doby - NH (FPDnh)</t>
  </si>
  <si>
    <t>Rok 2019 má dokopy 250 pracovných dní, t.j. 2000 pracovných hodín. S platenými sviatkami má rok 261 pracovných dní, t.j. 2088 pracovných hodín.. 8 hodinový pracovný čas (obdobie aktualizovať k času predloženia dokumentu), podľa https://calendar.zoznam.sk/worktime-sksk.php?hy=2019</t>
  </si>
  <si>
    <t xml:space="preserve">Prvý rok, ktorým výpočet CBA a TCO začína, rok začatia projektu </t>
  </si>
  <si>
    <t>P1370</t>
  </si>
  <si>
    <t>P1371</t>
  </si>
  <si>
    <t>P1373</t>
  </si>
  <si>
    <t>P1374</t>
  </si>
  <si>
    <t>P1375</t>
  </si>
  <si>
    <t>P1382</t>
  </si>
  <si>
    <t>P1383</t>
  </si>
  <si>
    <t>P1377</t>
  </si>
  <si>
    <t>P0789</t>
  </si>
  <si>
    <t>Procesy na strane úradníka (časové hodnoty)</t>
  </si>
  <si>
    <t>Proces č. 1</t>
  </si>
  <si>
    <t>Procesný krok č. 1</t>
  </si>
  <si>
    <t>Procesný krok č. 2</t>
  </si>
  <si>
    <t>Procesný krok č. 3</t>
  </si>
  <si>
    <t>Proces č. 2</t>
  </si>
  <si>
    <t>Meranie procesov sú súčasoťu samostatnej prílohy</t>
  </si>
  <si>
    <t>Zdroj</t>
  </si>
  <si>
    <t>Meranie č. 1</t>
  </si>
  <si>
    <t>Meranie č. 2</t>
  </si>
  <si>
    <t>Meranie č. 3</t>
  </si>
  <si>
    <t>Meranie č. 4</t>
  </si>
  <si>
    <t>Meranie č. 5</t>
  </si>
  <si>
    <t>Meranie č. 6</t>
  </si>
  <si>
    <t>Meranie č. 7</t>
  </si>
  <si>
    <t>Meranie č. 8</t>
  </si>
  <si>
    <t>Meranie č. 9</t>
  </si>
  <si>
    <t>Meranie č. 10</t>
  </si>
  <si>
    <t>Meranie č. 11</t>
  </si>
  <si>
    <t>Meranie č. 12</t>
  </si>
  <si>
    <t>Meranie č. 13</t>
  </si>
  <si>
    <t>Meranie č. 14</t>
  </si>
  <si>
    <t>Meranie č. 15</t>
  </si>
  <si>
    <t>Meranie č. 16</t>
  </si>
  <si>
    <t>Meranie č. 17</t>
  </si>
  <si>
    <t>Meranie č. 18</t>
  </si>
  <si>
    <t>Meranie č. 19</t>
  </si>
  <si>
    <t>Meranie č. 20</t>
  </si>
  <si>
    <t>Meranie č. 21</t>
  </si>
  <si>
    <t>Meranie č. 22</t>
  </si>
  <si>
    <t>Meranie č. 23</t>
  </si>
  <si>
    <t>Meranie č. 24</t>
  </si>
  <si>
    <t>Meranie č. 25</t>
  </si>
  <si>
    <t>Meranie č. 26</t>
  </si>
  <si>
    <t>Meranie č. 27</t>
  </si>
  <si>
    <t>Meranie č. 28</t>
  </si>
  <si>
    <t>Meranie č. 29</t>
  </si>
  <si>
    <t>Meranie č. 30</t>
  </si>
  <si>
    <t>Procesy na strane občana (časové hodnoty)</t>
  </si>
  <si>
    <t>prosím uveďte zdroj, v prípade vzorového prieskumu prosím vyplňte hodnoty za jednotlivé merania</t>
  </si>
  <si>
    <t>organizácia A</t>
  </si>
  <si>
    <t>organizácia B</t>
  </si>
  <si>
    <t>organizácia C</t>
  </si>
  <si>
    <t>organizácia ...</t>
  </si>
  <si>
    <t>Kontrola TO BE</t>
  </si>
  <si>
    <t>Počet zamestnancov vybavujúcich agendu</t>
  </si>
  <si>
    <t>Počet podaní</t>
  </si>
  <si>
    <t>DWC</t>
  </si>
  <si>
    <t>Ditec</t>
  </si>
  <si>
    <t>ATOS</t>
  </si>
  <si>
    <t>Deloitte</t>
  </si>
  <si>
    <t>ICZ</t>
  </si>
  <si>
    <t>HP</t>
  </si>
  <si>
    <t>Priemer MD</t>
  </si>
  <si>
    <t>Priemer MD bez nadrahšej zmluvy</t>
  </si>
  <si>
    <t>Cena MD zaokrúhlene</t>
  </si>
  <si>
    <t>Limit OPII</t>
  </si>
  <si>
    <t>Poníženie 10%</t>
  </si>
  <si>
    <t>IT dohľad / QA</t>
  </si>
  <si>
    <t>Zmluva o poskytovaní komplexných služieb k Elektronickému systému monitoringu osôb</t>
  </si>
  <si>
    <t>http://www.crz.gov.sk/index.php?ID=1349735&amp;l=sk</t>
  </si>
  <si>
    <t>Z M L U V A O V Y T V O R E N Í Informačného systému Register úpadcov (IS RÚ)</t>
  </si>
  <si>
    <t>http://www.crz.gov.sk/index.php?ID=1883192&amp;l=sk</t>
  </si>
  <si>
    <t xml:space="preserve">Realizačná zmluva č. OVO1-2015/000121-095 </t>
  </si>
  <si>
    <t>http://www.crz.gov.sk/index.php?ID=2179714&amp;l=sk</t>
  </si>
  <si>
    <t>Zmluva o poskytovaní servisných služieb na zabezpečenie prevádzky, údržby a aktualizácie Rezortného informačného systému</t>
  </si>
  <si>
    <t>http://www.crz.gov.sk/index.php?ID=1885367&amp;l=sk</t>
  </si>
  <si>
    <t>Zmluva o poskytovaní servisných služieb na zabezpečenie udržateľnosti Informačného systému Elektronizácie vzdelávacieho systému regionálneho školstva č. 0399/2017</t>
  </si>
  <si>
    <t>http://www.crz.gov.sk/index.php?ID=3023431&amp;l=sk</t>
  </si>
  <si>
    <t>Zmluva o službách a licenčná zmluva č. 1030/2015</t>
  </si>
  <si>
    <t>http://www.crz.gov.sk/index.php?ID=2232472&amp;l=sk</t>
  </si>
  <si>
    <t>Rozdiel
(voči min. riešenia navrhovaneho obstarávateľom)</t>
  </si>
  <si>
    <t>Analýza a dizajn, implementácia, testovanie, nasadenie funkcionalít nevyhnutných pre Portál elektronických služieb - prezentácia, zastupovanie, zdieľanie, vybavenie (pre detail viď ŠU).
Portál elektronických služieb zabezpečí alternatívnu cestu k používaniu elektronických služieb poskytovaných MŠVVaŠ SR a jeho PRO. Hlavnou úlohou portálu elektronických služieb bude zabezpečenie prevádzky pre vstupy elektronických služieb MŠVVaŠ SR, realizovaných v rámci reformného zámeru pre Elektronické služby MŠVVaŠ SR a poskytovanie výstupov z elektronických služieb. Realizácia a prevádza portálu el. služieb je legislatívne ohraničená  zákonom č. 305/2013 Z. z. o elektronickej podobe výkonu pôsobnosti orgánov verejnej moci a o zmene a doplnení niektorých zákonov (zákon o e-Governmente) a zákonom 275/2006 o informačných systémoch verejnej správy a o zmene a doplnení niektorých zákonov a štandardami  definovanými výnosom MF SR č. 137/2015 Z. z. o štandardoch pre informačné systémy verejnej správy. Súčasne bude v súlade s dizajn manuálom pre štátne portálové riešenia, ktorý bol odsúhlasený štandardizačnou komisiou.
Služby budú publikované v lokátore služieb ÚPVS, práca s nimi bude však na Portáli elektronických služieb, kde budú implementované obrazovky spĺňajúce štandardy pre elektronické formuláre s maximalizovaním komfortu pre používateľov (napr. ako https://www.employment.gov.sk/sk/formulare-ziadosti/). Jednotlivé formuláre na portáli budú predvypĺňané a validované online pre urýchlenie práce a zvýšenie používateľskéh zážitku.
V rámci realizácie špecializovaného portálu je plánované využitie spoločných modulov architektúry UPVS, tak ako to je požadované v zákone 305/2013 Z.z., a to:
. autentifikačného modulu (ÚPVS IAM)
Modul bude integrovaný na:
.autentifikačného modulu RIAM (pre potreby autorizácie zahraničných študentov, študentov bez OP, zákonných zástupcov)
.Dispečer elektronických služieb - dopytovanie backend komponentov pre získanie údajov alebo sprocesovanie žiadostí.
mikroslužby Registra elektronických služieb pre potreby predvypĺňania údajov a ich validácie (napr. údaje o identite, číselníkové údaje)</t>
  </si>
  <si>
    <t>X</t>
  </si>
  <si>
    <t>Analýza a dizajn, implementácia, testovanie, nasadenie funkcionalít nevyhnutných pre Dispečer elektronických služieb - zabezpečí vnútorné spracovanie a orchestráciu údajov jednotlivých procesov elektronických služieb, spracovanie požiadaviek a doručenie výstupov (pre detail viď ŠU).
Informačný systém Dispečer elektronických služieb zabezpečí vnútorné spracovanie a orchestráciu údajov jednotlivých procesov elektronických služieb MŠVVaŠ SR, spracovanie požiadaviek a doručenie výstupov. Jadro IS je vhodné budovať na báze BPM engine, ktorá zabezpečuje jednoduchý návrh a modifikáciu procesu spracovania konkrétnych úloh v rámci spracovania elektronických služieb a sledovanie a monitoring procesných aktivít. Modul sa skladá z viacerých submodulov:
.Evidencia bázových údajov
.Workflow a schvaľovanie -  základný modul systému, zabezpečuje vykonávanie nadefinovaných procesov spracovania elektronických služieb. Pre každú elektronickú službu je definovaný špecifický proces vykonávania postupu spracovania žiadosti elektronickej služby
.Riadenie a monitoring procesov - modul riadenie a monitoring procesov umožní detailné zobrazenie procesu vrátane jeho grafickej interpretácie
.Notifikácie a eskalácia - zabezpečuje automatizované zasielanie notifikácií určenému používateľovi na základe nastavenej úrovne a type eskalácie.
.Reporting, analytika a kontrola na úrovni procesov
.Integračné rozhrania na rezortné a mimorezortné IS
.Dispečer eletronických služieb umožní rozhodovanie o plne automatizovanom vybavení služby alebo jej smerovanie na manuálne dokončenie a pre manuálne dokončenie poskytne príslušné obrazovky špecializovaným používateľom. Ďalej rieši komplexnú oblasť integrácie a orchestrácie procesov medzi všetkými zapojenými systémami. Zabezpečuje komunikáciu pre služby medzi portálom a registrami elektronických služieb, ISVS Pôžičky FnPV, konzumáciu dát z CSRÚ (RFO, FPO, RA) a ich referencovanie do registra elektronických služieb, rezortnú registratúru a tiež RIAM. Má za úlohu v rámci SOA architektúry riešiť integrácie, orchestráciu a riadenie biznis procesov. Každá koncová služba pozostáva z viacerých činností a služieb (detailne uvedené v rámci procesných diagramov, ktoré sú súčasťou CBA) v samotnom procese elektronickej žiadosti: overenie žiadateľa, overenie oprávnení, overiť v registri (nie je jeden register, podľa typu žiadostí musí údaje pozbierať z viacerých zdrojov – teda integrácia na jeden systém znamená integráciu viacerých služieb podľa formy komunikácie služby), generovanie výstupu, zobrazenie výstupu.</t>
  </si>
  <si>
    <t>BPM platforma</t>
  </si>
  <si>
    <t>Analýza a dizajn, implementácia, testovanie, nasadenie funkcionalít nevyhnutných pre Registre elektronických služieb - poskytuje vstupy pre spracovanie procesov elektronických služieb, realizovaných v rámci reformného zámeru pre Elektronické služby. Jeho úlohou je evidencia a agregácia všetkých podkladových údajov do podoby dátovej základňe (pre detail viď ŠU).
Informačný systém Registre elektronických služieb MŠVVaŠ SR  poskytuje vstupy pre spracovanie procesov elektronických služieb MŠVVaŠ SR, realizovaných v rámci reformného zámeru pre Elektronické služby MŠVVaŠ SR. Jeho úlohou je evidencia a agregácia všetkých podkladových údajov do podoby dátovej základňe - registrov potrebných pre realizáciu elektronických služieb v rámci regionálneho a vysokého školstva (zdrojom budú údaje spracované v IS RIS) ako aj údajov v rámci VŠ (zdrojom budú registre VŠ). Dôvodom je zachovanie súčasných riešení, ktoré plnia podporu príslušným agendám ako v AI-IS a eliminácia rizík a nákladov ich zásadného prerábania. Uvedené registre budú obsahovať všetky údaje zo všetkých dostupných systémov ako jeden celok. V rámci registra bude riešený aj referenčný register žiakov/študentov/poslucháčov. V súčasných registroch DŽP nie sú evidované historické údaje pre potreby ich poskytovania a nie sú evidované všetky potrebné atribúty pre definované služby a prípady použitia. IS zabezpečí nasledovnú funkcionalitu:
.Priebežné spracovanie prijímaných údajov, predpokladaný časový interval, bude konfigurovateľný od režimu "online" až po dávkové spracovanie, napr. v hodinách
.Referencovanie údajov navzájom
.Uchovávanie údajov aj čo sa týka historických nadväzností evidovaných údajov
.Vizuálny grafický prístup pre správcov údajov s možnosťami reportingu, analytiky a kontroly na úrovni údajov
.Poskytovanie mikroslužieb pre bežiace procesy / volania služieb
.Poskytovanie mikroslužieb pre portálovú časť (predvypĺňanie, kontroly)
Modul bude integrovaný na:
.Dispečer elektronických služieb - vybavovanie služieb
.Portál elektronických služieb - predvypĺňanie a kontroly v rámci formulárov
.RIS
.Centrálny register študentov VŠ, 
.Centrálny register zamestnancov VŠ
.Manažment údajov a dátové integrácie (MDM)</t>
  </si>
  <si>
    <t>MDM PaaS Vládneho cloudu (produkčné a neprodukčné prostredie)</t>
  </si>
  <si>
    <t>Analýza a dizajn, implementácia, testovanie, nasadenie funkcionalít nevyhnutných pre IS Fondu na podporu vzdelávania - podpora back-office a front-office funkcií (pre detail viď ŠU).
Systém bude slúžiť pre internú potrebu FnPV na správu existujúcich pôžičiek a úverových účtov v celom životnom cykle od elektronickej žiadosti až po evidenciu a správu bežiacich pôžičiek, ich splátok až po uzavretie prípadu. Bude tiež umožňovať spracovanie elektronických žiadostí o pôžičky pre študentov a pedagogických pracovníkov, prípadne ďalšie osoby, ktorým bude umožnená žiadosť o pôžičku v súlade s legislatívou. Prístup do úverových účtov žiadateľov bude umožnený aj prostredníctvom online prístupu, kde si bude môcť používateľ požiadať o ďalšie zmeny súvisiace napr. so zmenou trvalej adresy, priezviska a iné. Systém bude poskytovať back-office podporu pre spracovanie žiadosti o pôžičku pre študentov a pedagogických pracovníkov z Fondu na podporu vzdelávania vrátane funkcionalít ERP systému ako sú omeškania, evidencia a sledovanie splátok, upomienkovací proces, notifikácie.</t>
  </si>
  <si>
    <t>Zabezpečenie IT projektového riadenia (príprava a kontrola manažérskych a špecifických projektových výstupov na úrovni projektu aj OP II).</t>
  </si>
  <si>
    <t>Dodávateľ č. 1</t>
  </si>
  <si>
    <t>Dodávateľ č. 2</t>
  </si>
  <si>
    <t>Potrebná detailnejšia analýza</t>
  </si>
  <si>
    <t>SUMY SÚ BEZ DPH a NEPOČÍTAJÚ SA PODPORNÉ AKTIVITY - 7% !</t>
  </si>
  <si>
    <t>SÚČASŤOU ROZPOČTU NIE JE HW - ISVS budú umiestnené vo vládnom cloude!</t>
  </si>
  <si>
    <t>Poznámky a požiadavky:</t>
  </si>
  <si>
    <r>
      <rPr>
        <b/>
        <sz val="11"/>
        <color theme="1"/>
        <rFont val="Calibri"/>
        <family val="2"/>
        <scheme val="minor"/>
      </rPr>
      <t>Analýza a dizajn</t>
    </r>
    <r>
      <rPr>
        <sz val="11"/>
        <color theme="1"/>
        <rFont val="Calibri"/>
        <family val="2"/>
        <charset val="238"/>
        <scheme val="minor"/>
      </rPr>
      <t> bude obsahovať najmä prípravu výstupov - Špecifikácia požiadaviek a Detailná špecifikácia riešenia; Integračná dokumentácia na úrovni návrhu riešenia; Bezpečnostný projekt. V rámci aktivity sú min. vyžadované pozície - IT analytik, IT architekt, Špecialista pre bezpečnosť IT, prípadne aj iné pozícia ako napr. IT/IS špecialista, odborník pre IT junior"</t>
    </r>
  </si>
  <si>
    <r>
      <rPr>
        <b/>
        <sz val="11"/>
        <color theme="1"/>
        <rFont val="Calibri"/>
        <family val="2"/>
        <scheme val="minor"/>
      </rPr>
      <t>Implementácia </t>
    </r>
    <r>
      <rPr>
        <sz val="11"/>
        <color theme="1"/>
        <rFont val="Calibri"/>
        <family val="2"/>
        <charset val="238"/>
        <scheme val="minor"/>
      </rPr>
      <t>bude okrem samotnej implementácie obsahovať aj vytvorenie Technického integračného návrhu, resp. aktualizáciu Integračnej dokumentácie alebo Detailnej špecifikácie riešenia. V rámci aktivity sú min. vyžadované pozície - IT programátor / vývojár, prípadne aj iné pozície ako napr. IT/IS špecialista, odborník na IT - junior"</t>
    </r>
  </si>
  <si>
    <r>
      <rPr>
        <b/>
        <sz val="11"/>
        <color theme="1"/>
        <rFont val="Calibri"/>
        <family val="2"/>
        <charset val="238"/>
        <scheme val="minor"/>
      </rPr>
      <t>Testovanie </t>
    </r>
    <r>
      <rPr>
        <sz val="11"/>
        <color theme="1"/>
        <rFont val="Calibri"/>
        <family val="2"/>
        <charset val="238"/>
        <scheme val="minor"/>
      </rPr>
      <t>bude obsahovať najmä vytvorenie Testovacej stratégie / plánu testov a Testovacích scenárov (prípadov) a realizáciu samotného testovania podľa požiadaviek na OP II projekty. Súčasťou bude aj používateľská dokumentácia, školiace materiály, školenia. Pôjde najmä o testovanie funkčné, regresné, bezpečnostné, integračné, záťažové, testovanie prístupnosti systému. V rámci aktivity sú vyžadované pozície - IT tester a školitel pre IT systémy, prípadne aj iné pozície ako napr. IT/IS špecialista, odborník na IT - junior"</t>
    </r>
  </si>
  <si>
    <r>
      <rPr>
        <b/>
        <sz val="11"/>
        <color theme="1"/>
        <rFont val="Calibri"/>
        <family val="2"/>
        <charset val="238"/>
        <scheme val="minor"/>
      </rPr>
      <t>Nasadenie</t>
    </r>
    <r>
      <rPr>
        <sz val="11"/>
        <color theme="1"/>
        <rFont val="Calibri"/>
        <family val="2"/>
        <charset val="238"/>
        <scheme val="minor"/>
      </rPr>
      <t xml:space="preserve"> (Rollout), ktorého súčasťou bude Dohoda o úrovni poskytovaných služieb pre integráciu (tzv. integračná SLA) Aktivita končí schválením integračného akceptačného protokolu nasadenia do prevádzky V rámci aktivity sú vyžadované pozície - špecialista pre HW/infraštruktúru, prípadne aj iné pozície ako napr. IT/IS špecialista, odborník na IT - junior"</t>
    </r>
  </si>
  <si>
    <t>V rámci aktivity projektové riadenie sa vyžaduje obsadenie pozície IT projektový manažér s certifikáciou PRINCE2 (resp. ekvivalent).</t>
  </si>
  <si>
    <t xml:space="preserve">ŠU je zverejnená v MetaIS na: </t>
  </si>
  <si>
    <t>https://metais.vicepremier.gov.sk/studia/detail/7be277e0-6a0a-0cfd-6d49-538d7f01feb0?tab=documents</t>
  </si>
  <si>
    <t>Dodávateľ č. 3</t>
  </si>
  <si>
    <t>Presnejšie ocenenie možné na základe detailnejších podkladov</t>
  </si>
  <si>
    <t>Spoločné (centrálne role)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</si>
</sst>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0.0%"/>
    <numFmt numFmtId="168" formatCode="#,##0_ ;\-#,##0;\-;@"/>
    <numFmt numFmtId="169" formatCode="0.00;\-0.00;\-;@"/>
    <numFmt numFmtId="170" formatCode="_-* #,##0\ &quot;€&quot;_-;\-* #,##0\ &quot;€&quot;_-;_-* &quot;-&quot;??\ &quot;€&quot;_-;_-@_-"/>
    <numFmt numFmtId="171" formatCode="_-* #,##0.00\ [$€-1]_-;\-* #,##0.00\ [$€-1]_-;_-* &quot;-&quot;??\ [$€-1]_-;_-@_-"/>
    <numFmt numFmtId="172" formatCode="#,##0.00\ &quot;€&quot;"/>
  </numFmts>
  <fonts count="92">
    <font>
      <sz val="11"/>
      <color theme="1"/>
      <name val="Calibri"/>
      <family val="2"/>
      <charset val="238"/>
      <scheme val="minor"/>
    </font>
    <font>
      <sz val="11"/>
      <color theme="1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name val="Arial Narrow"/>
      <family val="2"/>
      <charset val="238"/>
    </font>
    <font>
      <sz val="11"/>
      <color rgb="FF0061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8"/>
      <name val="Arial"/>
      <family val="2"/>
      <charset val="238"/>
    </font>
    <font>
      <sz val="11"/>
      <color theme="1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1"/>
      <color rgb="FF000000"/>
      <name val="Arial Narrow"/>
      <family val="2"/>
      <charset val="238"/>
    </font>
    <font>
      <b/>
      <sz val="11"/>
      <color rgb="FFFF0000"/>
      <name val="Arial Narrow"/>
      <family val="2"/>
      <charset val="238"/>
    </font>
    <font>
      <i/>
      <sz val="11"/>
      <color rgb="FF000000"/>
      <name val="Arial Narrow"/>
      <family val="2"/>
      <charset val="238"/>
    </font>
    <font>
      <b/>
      <sz val="9"/>
      <color rgb="FF000000"/>
      <name val="Arial Narrow"/>
      <family val="2"/>
      <charset val="238"/>
    </font>
    <font>
      <i/>
      <sz val="9"/>
      <color rgb="FF000000"/>
      <name val="Arial Narrow"/>
      <family val="2"/>
      <charset val="238"/>
    </font>
    <font>
      <i/>
      <sz val="8"/>
      <color rgb="FF000000"/>
      <name val="Arial Narrow"/>
      <family val="2"/>
      <charset val="238"/>
    </font>
    <font>
      <b/>
      <sz val="8"/>
      <color rgb="FFFA7D00"/>
      <name val="Calibri"/>
      <family val="2"/>
      <charset val="238"/>
      <scheme val="minor"/>
    </font>
    <font>
      <sz val="9"/>
      <color rgb="FF006100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Arial Narrow"/>
      <family val="2"/>
      <charset val="238"/>
    </font>
    <font>
      <b/>
      <sz val="9"/>
      <color theme="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  <font>
      <sz val="9"/>
      <color theme="2" tint="-0.249977111117893"/>
      <name val="Calibri"/>
      <family val="2"/>
      <charset val="238"/>
      <scheme val="minor"/>
    </font>
    <font>
      <sz val="9"/>
      <name val="Arial"/>
      <family val="2"/>
      <charset val="238"/>
    </font>
    <font>
      <sz val="9"/>
      <color rgb="FFFA7D00"/>
      <name val="Calibri"/>
      <family val="2"/>
      <charset val="238"/>
      <scheme val="minor"/>
    </font>
    <font>
      <sz val="8"/>
      <color rgb="FFFA7D00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1"/>
      <color theme="0" tint="-0.499984740745262"/>
      <name val="Calibri"/>
      <family val="2"/>
      <charset val="238"/>
      <scheme val="minor"/>
    </font>
    <font>
      <sz val="9"/>
      <color theme="0" tint="-0.499984740745262"/>
      <name val="Calibri"/>
      <family val="2"/>
      <charset val="238"/>
      <scheme val="minor"/>
    </font>
    <font>
      <sz val="11"/>
      <color theme="0" tint="-0.499984740745262"/>
      <name val="Calibri"/>
      <family val="2"/>
      <charset val="238"/>
      <scheme val="minor"/>
    </font>
    <font>
      <sz val="11"/>
      <color rgb="FF006100"/>
      <name val="Arial Narrow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6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5" tint="-0.249977111117893"/>
      <name val="Arial"/>
      <family val="2"/>
      <charset val="238"/>
    </font>
    <font>
      <sz val="11"/>
      <color theme="5" tint="-0.24997711111789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u/>
      <sz val="11"/>
      <color theme="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5" tint="-0.249977111117893"/>
      <name val="Calibri"/>
      <family val="2"/>
      <charset val="238"/>
      <scheme val="minor"/>
    </font>
    <font>
      <b/>
      <sz val="11"/>
      <color theme="5" tint="-0.249977111117893"/>
      <name val="Calibri"/>
      <family val="2"/>
      <charset val="238"/>
      <scheme val="minor"/>
    </font>
    <font>
      <sz val="11"/>
      <color theme="5" tint="-0.499984740745262"/>
      <name val="Calibri"/>
      <family val="2"/>
      <charset val="238"/>
      <scheme val="minor"/>
    </font>
    <font>
      <b/>
      <sz val="11"/>
      <color theme="5" tint="-0.499984740745262"/>
      <name val="Calibri"/>
      <family val="2"/>
      <charset val="238"/>
      <scheme val="minor"/>
    </font>
    <font>
      <sz val="9"/>
      <color theme="5" tint="-0.249977111117893"/>
      <name val="Calibri"/>
      <family val="2"/>
      <charset val="238"/>
      <scheme val="minor"/>
    </font>
    <font>
      <b/>
      <sz val="9"/>
      <color theme="5" tint="-0.249977111117893"/>
      <name val="Calibri"/>
      <family val="2"/>
      <charset val="238"/>
      <scheme val="minor"/>
    </font>
    <font>
      <sz val="18"/>
      <name val="Arial"/>
      <family val="2"/>
    </font>
    <font>
      <b/>
      <sz val="18"/>
      <color rgb="FFFFFFFF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  <charset val="238"/>
    </font>
    <font>
      <b/>
      <sz val="9"/>
      <color theme="1"/>
      <name val="Calibri"/>
      <family val="2"/>
      <scheme val="minor"/>
    </font>
    <font>
      <b/>
      <sz val="11"/>
      <color theme="1"/>
      <name val="Arial Narrow"/>
      <family val="2"/>
      <charset val="238"/>
    </font>
    <font>
      <u/>
      <sz val="11"/>
      <color theme="10"/>
      <name val="Arial Narrow"/>
      <family val="2"/>
      <charset val="238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0"/>
      <name val="Arial Narrow"/>
      <family val="2"/>
      <charset val="238"/>
    </font>
    <font>
      <sz val="10"/>
      <color theme="5" tint="-0.249977111117893"/>
      <name val="Arial Narrow"/>
      <family val="2"/>
      <charset val="238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1"/>
      <color rgb="FF333333"/>
      <name val="-apple-system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charset val="238"/>
      <scheme val="minor"/>
    </font>
    <font>
      <sz val="9"/>
      <color theme="0" tint="-0.34998626667073579"/>
      <name val="Calibri"/>
      <family val="2"/>
      <charset val="238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A6A6A6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EAEFF7"/>
        <bgColor indexed="64"/>
      </patternFill>
    </fill>
    <fill>
      <patternFill patternType="solid">
        <fgColor rgb="FFD2DEE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</fills>
  <borders count="192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medium">
        <color indexed="64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/>
      <top style="medium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/>
      <right style="medium">
        <color indexed="64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 style="thin">
        <color rgb="FFB2B2B2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thin">
        <color rgb="FFB2B2B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medium">
        <color auto="1"/>
      </bottom>
      <diagonal/>
    </border>
    <border>
      <left style="thin">
        <color theme="2" tint="-0.249977111117893"/>
      </left>
      <right style="medium">
        <color auto="1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 style="thin">
        <color theme="2" tint="-0.249977111117893"/>
      </right>
      <top/>
      <bottom style="thin">
        <color rgb="FFB2B2B2"/>
      </bottom>
      <diagonal/>
    </border>
    <border>
      <left/>
      <right style="medium">
        <color indexed="64"/>
      </right>
      <top/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theme="2" tint="-0.249977111117893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medium">
        <color auto="1"/>
      </right>
      <top/>
      <bottom style="thin">
        <color theme="2" tint="-0.249977111117893"/>
      </bottom>
      <diagonal/>
    </border>
    <border>
      <left style="thin">
        <color rgb="FFB2B2B2"/>
      </left>
      <right/>
      <top/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7711111789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 style="medium">
        <color indexed="64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indexed="64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medium">
        <color indexed="64"/>
      </top>
      <bottom style="thin">
        <color theme="2" tint="-0.249977111117893"/>
      </bottom>
      <diagonal/>
    </border>
    <border>
      <left style="medium">
        <color auto="1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medium">
        <color rgb="FF000000"/>
      </left>
      <right/>
      <top style="thin">
        <color theme="0" tint="-0.24994659260841701"/>
      </top>
      <bottom/>
      <diagonal/>
    </border>
    <border>
      <left style="medium">
        <color rgb="FF000000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medium">
        <color rgb="FF000000"/>
      </left>
      <right/>
      <top style="thin">
        <color theme="0" tint="-0.24994659260841701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theme="0" tint="-0.24994659260841701"/>
      </top>
      <bottom style="medium">
        <color rgb="FF000000"/>
      </bottom>
      <diagonal/>
    </border>
    <border>
      <left style="medium">
        <color rgb="FF000000"/>
      </left>
      <right style="thin">
        <color theme="2" tint="-0.249977111117893"/>
      </right>
      <top style="thin">
        <color theme="2" tint="-0.249977111117893"/>
      </top>
      <bottom style="medium">
        <color rgb="FF000000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medium">
        <color rgb="FF000000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0">
    <xf numFmtId="0" fontId="0" fillId="0" borderId="0"/>
    <xf numFmtId="0" fontId="6" fillId="3" borderId="0" applyNumberFormat="0" applyBorder="0" applyAlignment="0" applyProtection="0"/>
    <xf numFmtId="0" fontId="7" fillId="4" borderId="16" applyNumberFormat="0" applyAlignment="0" applyProtection="0"/>
    <xf numFmtId="0" fontId="2" fillId="5" borderId="17" applyNumberFormat="0" applyFont="0" applyAlignment="0" applyProtection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897">
    <xf numFmtId="0" fontId="0" fillId="0" borderId="0" xfId="0"/>
    <xf numFmtId="0" fontId="3" fillId="2" borderId="1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justify" vertical="top" wrapText="1"/>
    </xf>
    <xf numFmtId="0" fontId="3" fillId="2" borderId="3" xfId="0" applyFont="1" applyFill="1" applyBorder="1" applyAlignment="1">
      <alignment horizontal="justify" vertical="top" wrapText="1"/>
    </xf>
    <xf numFmtId="0" fontId="4" fillId="0" borderId="0" xfId="0" applyFont="1" applyAlignment="1">
      <alignment vertical="top"/>
    </xf>
    <xf numFmtId="0" fontId="3" fillId="2" borderId="1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0" fillId="6" borderId="0" xfId="0" applyFill="1" applyAlignment="1">
      <alignment horizontal="left" vertical="top" wrapText="1"/>
    </xf>
    <xf numFmtId="0" fontId="4" fillId="6" borderId="14" xfId="0" applyFont="1" applyFill="1" applyBorder="1" applyAlignment="1">
      <alignment horizontal="left" vertical="top" wrapText="1"/>
    </xf>
    <xf numFmtId="0" fontId="4" fillId="6" borderId="24" xfId="0" applyFont="1" applyFill="1" applyBorder="1" applyAlignment="1">
      <alignment horizontal="left" vertical="top" wrapText="1"/>
    </xf>
    <xf numFmtId="0" fontId="9" fillId="6" borderId="15" xfId="0" applyFont="1" applyFill="1" applyBorder="1" applyAlignment="1">
      <alignment horizontal="left" vertical="top" wrapText="1"/>
    </xf>
    <xf numFmtId="0" fontId="10" fillId="6" borderId="31" xfId="0" applyFont="1" applyFill="1" applyBorder="1" applyAlignment="1">
      <alignment horizontal="left" vertical="top" wrapText="1"/>
    </xf>
    <xf numFmtId="0" fontId="0" fillId="6" borderId="32" xfId="0" applyFill="1" applyBorder="1" applyAlignment="1">
      <alignment horizontal="left" vertical="top" wrapText="1"/>
    </xf>
    <xf numFmtId="0" fontId="0" fillId="7" borderId="15" xfId="0" applyFill="1" applyBorder="1" applyAlignment="1">
      <alignment vertical="top" wrapText="1"/>
    </xf>
    <xf numFmtId="0" fontId="0" fillId="7" borderId="26" xfId="0" applyFill="1" applyBorder="1" applyAlignment="1">
      <alignment vertical="top" wrapText="1"/>
    </xf>
    <xf numFmtId="0" fontId="11" fillId="7" borderId="5" xfId="0" applyFont="1" applyFill="1" applyBorder="1" applyAlignment="1">
      <alignment vertical="top" wrapText="1"/>
    </xf>
    <xf numFmtId="0" fontId="9" fillId="7" borderId="0" xfId="0" applyFont="1" applyFill="1" applyAlignment="1">
      <alignment horizontal="center" vertical="top" wrapText="1"/>
    </xf>
    <xf numFmtId="0" fontId="0" fillId="6" borderId="18" xfId="0" applyFill="1" applyBorder="1" applyAlignment="1">
      <alignment horizontal="left" vertical="top" wrapText="1"/>
    </xf>
    <xf numFmtId="0" fontId="9" fillId="7" borderId="0" xfId="0" applyFont="1" applyFill="1" applyAlignment="1">
      <alignment horizontal="left" vertical="top" wrapText="1"/>
    </xf>
    <xf numFmtId="0" fontId="0" fillId="7" borderId="0" xfId="0" applyFill="1" applyAlignment="1">
      <alignment vertical="top" wrapText="1"/>
    </xf>
    <xf numFmtId="0" fontId="0" fillId="7" borderId="25" xfId="0" applyFill="1" applyBorder="1" applyAlignment="1">
      <alignment vertical="top" wrapText="1"/>
    </xf>
    <xf numFmtId="0" fontId="11" fillId="7" borderId="27" xfId="0" applyFont="1" applyFill="1" applyBorder="1" applyAlignment="1">
      <alignment vertical="top" wrapText="1"/>
    </xf>
    <xf numFmtId="0" fontId="0" fillId="7" borderId="24" xfId="0" applyFill="1" applyBorder="1" applyAlignment="1">
      <alignment vertical="top" wrapText="1"/>
    </xf>
    <xf numFmtId="0" fontId="11" fillId="7" borderId="6" xfId="0" applyFont="1" applyFill="1" applyBorder="1" applyAlignment="1">
      <alignment vertical="top" wrapText="1"/>
    </xf>
    <xf numFmtId="0" fontId="0" fillId="0" borderId="6" xfId="0" applyBorder="1" applyAlignment="1">
      <alignment horizontal="left" vertical="top" wrapText="1"/>
    </xf>
    <xf numFmtId="4" fontId="7" fillId="4" borderId="16" xfId="2" applyNumberFormat="1" applyAlignment="1">
      <alignment horizontal="right" vertical="top" wrapText="1"/>
    </xf>
    <xf numFmtId="4" fontId="7" fillId="4" borderId="36" xfId="2" applyNumberFormat="1" applyBorder="1" applyAlignment="1">
      <alignment horizontal="right" vertical="top" wrapText="1"/>
    </xf>
    <xf numFmtId="0" fontId="9" fillId="7" borderId="6" xfId="0" applyFont="1" applyFill="1" applyBorder="1" applyAlignment="1">
      <alignment horizontal="left" vertical="top" wrapText="1"/>
    </xf>
    <xf numFmtId="4" fontId="7" fillId="4" borderId="37" xfId="2" applyNumberFormat="1" applyBorder="1" applyAlignment="1">
      <alignment horizontal="right" vertical="top" wrapText="1"/>
    </xf>
    <xf numFmtId="4" fontId="6" fillId="3" borderId="0" xfId="1" applyNumberFormat="1" applyAlignment="1">
      <alignment horizontal="right" vertical="top" wrapText="1"/>
    </xf>
    <xf numFmtId="0" fontId="7" fillId="4" borderId="16" xfId="2" applyAlignment="1">
      <alignment horizontal="left" vertical="top"/>
    </xf>
    <xf numFmtId="0" fontId="0" fillId="0" borderId="39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4" fontId="7" fillId="4" borderId="42" xfId="2" applyNumberFormat="1" applyBorder="1" applyAlignment="1">
      <alignment horizontal="right" vertical="top" wrapText="1"/>
    </xf>
    <xf numFmtId="4" fontId="7" fillId="4" borderId="45" xfId="2" applyNumberFormat="1" applyBorder="1" applyAlignment="1">
      <alignment horizontal="right" vertical="top" wrapText="1"/>
    </xf>
    <xf numFmtId="0" fontId="15" fillId="0" borderId="0" xfId="0" applyFont="1"/>
    <xf numFmtId="0" fontId="0" fillId="6" borderId="33" xfId="0" applyFill="1" applyBorder="1" applyAlignment="1">
      <alignment horizontal="left" vertical="top" wrapText="1"/>
    </xf>
    <xf numFmtId="0" fontId="0" fillId="6" borderId="6" xfId="0" applyFill="1" applyBorder="1" applyAlignment="1">
      <alignment horizontal="left" vertical="top" wrapText="1"/>
    </xf>
    <xf numFmtId="0" fontId="0" fillId="0" borderId="70" xfId="0" applyBorder="1" applyAlignment="1">
      <alignment horizontal="left" vertical="top" wrapText="1"/>
    </xf>
    <xf numFmtId="0" fontId="9" fillId="7" borderId="69" xfId="0" applyFont="1" applyFill="1" applyBorder="1" applyAlignment="1">
      <alignment horizontal="left" vertical="top" wrapText="1"/>
    </xf>
    <xf numFmtId="0" fontId="0" fillId="7" borderId="29" xfId="0" applyFill="1" applyBorder="1" applyAlignment="1">
      <alignment vertical="top" wrapText="1"/>
    </xf>
    <xf numFmtId="0" fontId="11" fillId="7" borderId="30" xfId="0" applyFont="1" applyFill="1" applyBorder="1" applyAlignment="1">
      <alignment vertical="top" wrapText="1"/>
    </xf>
    <xf numFmtId="4" fontId="7" fillId="4" borderId="71" xfId="2" applyNumberFormat="1" applyBorder="1" applyAlignment="1">
      <alignment horizontal="right" vertical="top" wrapText="1"/>
    </xf>
    <xf numFmtId="4" fontId="7" fillId="4" borderId="72" xfId="2" applyNumberFormat="1" applyBorder="1" applyAlignment="1">
      <alignment horizontal="right" vertical="top" wrapText="1"/>
    </xf>
    <xf numFmtId="4" fontId="7" fillId="4" borderId="73" xfId="2" applyNumberFormat="1" applyBorder="1" applyAlignment="1">
      <alignment horizontal="right" vertical="top" wrapText="1"/>
    </xf>
    <xf numFmtId="4" fontId="7" fillId="4" borderId="74" xfId="2" applyNumberFormat="1" applyBorder="1" applyAlignment="1">
      <alignment horizontal="right" vertical="top" wrapText="1"/>
    </xf>
    <xf numFmtId="4" fontId="7" fillId="4" borderId="76" xfId="2" applyNumberFormat="1" applyBorder="1" applyAlignment="1">
      <alignment horizontal="right" vertical="top" wrapText="1"/>
    </xf>
    <xf numFmtId="0" fontId="0" fillId="0" borderId="75" xfId="0" applyBorder="1" applyAlignment="1">
      <alignment horizontal="left" vertical="top" wrapText="1"/>
    </xf>
    <xf numFmtId="0" fontId="10" fillId="6" borderId="35" xfId="0" applyFont="1" applyFill="1" applyBorder="1" applyAlignment="1">
      <alignment horizontal="left" vertical="top" wrapText="1"/>
    </xf>
    <xf numFmtId="0" fontId="0" fillId="6" borderId="27" xfId="0" applyFill="1" applyBorder="1" applyAlignment="1">
      <alignment horizontal="left" vertical="top" wrapText="1"/>
    </xf>
    <xf numFmtId="4" fontId="7" fillId="4" borderId="77" xfId="2" applyNumberFormat="1" applyBorder="1" applyAlignment="1">
      <alignment horizontal="right" vertical="top" wrapText="1"/>
    </xf>
    <xf numFmtId="4" fontId="7" fillId="4" borderId="78" xfId="2" applyNumberFormat="1" applyBorder="1" applyAlignment="1">
      <alignment horizontal="right" vertical="top" wrapText="1"/>
    </xf>
    <xf numFmtId="4" fontId="7" fillId="4" borderId="79" xfId="2" applyNumberFormat="1" applyBorder="1" applyAlignment="1">
      <alignment horizontal="right" vertical="top" wrapText="1"/>
    </xf>
    <xf numFmtId="0" fontId="0" fillId="6" borderId="8" xfId="0" applyFill="1" applyBorder="1" applyAlignment="1">
      <alignment horizontal="left" vertical="top" wrapText="1"/>
    </xf>
    <xf numFmtId="0" fontId="0" fillId="6" borderId="9" xfId="0" applyFill="1" applyBorder="1" applyAlignment="1">
      <alignment horizontal="left" vertical="top" wrapText="1"/>
    </xf>
    <xf numFmtId="0" fontId="6" fillId="3" borderId="80" xfId="1" applyBorder="1" applyAlignment="1">
      <alignment horizontal="right" vertical="top" wrapText="1"/>
    </xf>
    <xf numFmtId="4" fontId="7" fillId="4" borderId="36" xfId="2" applyNumberFormat="1" applyBorder="1" applyAlignment="1">
      <alignment horizontal="left" vertical="top" wrapText="1"/>
    </xf>
    <xf numFmtId="4" fontId="7" fillId="4" borderId="81" xfId="2" applyNumberFormat="1" applyBorder="1" applyAlignment="1">
      <alignment horizontal="right" vertical="top" wrapText="1"/>
    </xf>
    <xf numFmtId="4" fontId="7" fillId="4" borderId="82" xfId="2" applyNumberFormat="1" applyBorder="1" applyAlignment="1">
      <alignment horizontal="right" vertical="top" wrapText="1"/>
    </xf>
    <xf numFmtId="4" fontId="7" fillId="4" borderId="83" xfId="2" applyNumberFormat="1" applyBorder="1" applyAlignment="1">
      <alignment horizontal="right" vertical="top" wrapText="1"/>
    </xf>
    <xf numFmtId="0" fontId="0" fillId="0" borderId="0" xfId="0" applyAlignment="1">
      <alignment wrapText="1"/>
    </xf>
    <xf numFmtId="0" fontId="9" fillId="0" borderId="0" xfId="0" applyFont="1" applyAlignment="1">
      <alignment horizontal="left" vertical="top" wrapText="1"/>
    </xf>
    <xf numFmtId="0" fontId="9" fillId="0" borderId="28" xfId="0" applyFont="1" applyBorder="1" applyAlignment="1">
      <alignment horizontal="left" vertical="top" wrapText="1"/>
    </xf>
    <xf numFmtId="3" fontId="7" fillId="4" borderId="14" xfId="2" applyNumberFormat="1" applyBorder="1" applyAlignment="1">
      <alignment horizontal="right" vertical="top" wrapText="1"/>
    </xf>
    <xf numFmtId="3" fontId="7" fillId="4" borderId="24" xfId="2" applyNumberFormat="1" applyBorder="1" applyAlignment="1">
      <alignment horizontal="right" vertical="top" wrapText="1"/>
    </xf>
    <xf numFmtId="3" fontId="7" fillId="4" borderId="15" xfId="2" applyNumberFormat="1" applyBorder="1" applyAlignment="1">
      <alignment horizontal="right" vertical="top" wrapText="1"/>
    </xf>
    <xf numFmtId="0" fontId="0" fillId="0" borderId="8" xfId="0" applyBorder="1" applyAlignment="1">
      <alignment horizontal="left" vertical="top" wrapText="1"/>
    </xf>
    <xf numFmtId="0" fontId="0" fillId="0" borderId="80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9" fillId="6" borderId="22" xfId="0" applyFont="1" applyFill="1" applyBorder="1" applyAlignment="1">
      <alignment horizontal="center" vertical="top" wrapText="1"/>
    </xf>
    <xf numFmtId="3" fontId="7" fillId="4" borderId="14" xfId="2" applyNumberFormat="1" applyBorder="1" applyAlignment="1">
      <alignment vertical="top" wrapText="1"/>
    </xf>
    <xf numFmtId="3" fontId="7" fillId="4" borderId="24" xfId="2" applyNumberFormat="1" applyBorder="1" applyAlignment="1">
      <alignment vertical="top" wrapText="1"/>
    </xf>
    <xf numFmtId="3" fontId="7" fillId="4" borderId="15" xfId="2" applyNumberFormat="1" applyBorder="1" applyAlignment="1">
      <alignment vertical="top" wrapText="1"/>
    </xf>
    <xf numFmtId="0" fontId="9" fillId="10" borderId="6" xfId="0" applyFont="1" applyFill="1" applyBorder="1" applyAlignment="1">
      <alignment horizontal="left" vertical="top" wrapText="1"/>
    </xf>
    <xf numFmtId="0" fontId="9" fillId="7" borderId="30" xfId="0" applyFont="1" applyFill="1" applyBorder="1" applyAlignment="1">
      <alignment horizontal="left" vertical="top" wrapText="1"/>
    </xf>
    <xf numFmtId="0" fontId="9" fillId="11" borderId="6" xfId="0" applyFont="1" applyFill="1" applyBorder="1" applyAlignment="1">
      <alignment horizontal="left" vertical="top" wrapText="1"/>
    </xf>
    <xf numFmtId="3" fontId="7" fillId="4" borderId="72" xfId="2" applyNumberFormat="1" applyBorder="1" applyAlignment="1">
      <alignment horizontal="right" vertical="top" wrapText="1"/>
    </xf>
    <xf numFmtId="3" fontId="7" fillId="4" borderId="73" xfId="2" applyNumberFormat="1" applyBorder="1" applyAlignment="1">
      <alignment horizontal="right" vertical="top" wrapText="1"/>
    </xf>
    <xf numFmtId="3" fontId="7" fillId="4" borderId="74" xfId="2" applyNumberFormat="1" applyBorder="1" applyAlignment="1">
      <alignment horizontal="right" vertical="top" wrapText="1"/>
    </xf>
    <xf numFmtId="0" fontId="9" fillId="10" borderId="30" xfId="0" applyFont="1" applyFill="1" applyBorder="1" applyAlignment="1">
      <alignment horizontal="left" vertical="top" wrapText="1"/>
    </xf>
    <xf numFmtId="0" fontId="9" fillId="11" borderId="30" xfId="0" applyFont="1" applyFill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31" fillId="0" borderId="0" xfId="0" applyFont="1"/>
    <xf numFmtId="49" fontId="31" fillId="0" borderId="0" xfId="0" applyNumberFormat="1" applyFont="1"/>
    <xf numFmtId="3" fontId="7" fillId="4" borderId="73" xfId="2" applyNumberFormat="1" applyBorder="1"/>
    <xf numFmtId="0" fontId="29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wrapText="1"/>
    </xf>
    <xf numFmtId="0" fontId="29" fillId="0" borderId="0" xfId="0" applyFont="1"/>
    <xf numFmtId="0" fontId="9" fillId="7" borderId="69" xfId="0" applyFont="1" applyFill="1" applyBorder="1" applyAlignment="1">
      <alignment horizontal="center" vertical="top" wrapText="1"/>
    </xf>
    <xf numFmtId="3" fontId="7" fillId="4" borderId="36" xfId="2" applyNumberFormat="1" applyBorder="1"/>
    <xf numFmtId="3" fontId="7" fillId="4" borderId="88" xfId="2" applyNumberFormat="1" applyBorder="1"/>
    <xf numFmtId="0" fontId="0" fillId="6" borderId="89" xfId="0" applyFill="1" applyBorder="1" applyAlignment="1">
      <alignment horizontal="center" vertical="top" wrapText="1"/>
    </xf>
    <xf numFmtId="3" fontId="7" fillId="4" borderId="82" xfId="2" applyNumberFormat="1" applyBorder="1" applyAlignment="1">
      <alignment horizontal="right"/>
    </xf>
    <xf numFmtId="3" fontId="7" fillId="4" borderId="83" xfId="2" applyNumberFormat="1" applyBorder="1" applyAlignment="1">
      <alignment horizontal="right"/>
    </xf>
    <xf numFmtId="3" fontId="7" fillId="4" borderId="69" xfId="2" applyNumberFormat="1" applyBorder="1"/>
    <xf numFmtId="3" fontId="7" fillId="4" borderId="30" xfId="2" applyNumberFormat="1" applyBorder="1"/>
    <xf numFmtId="3" fontId="7" fillId="4" borderId="90" xfId="2" applyNumberFormat="1" applyBorder="1"/>
    <xf numFmtId="0" fontId="28" fillId="0" borderId="14" xfId="0" applyFont="1" applyBorder="1"/>
    <xf numFmtId="0" fontId="28" fillId="0" borderId="23" xfId="0" applyFont="1" applyBorder="1"/>
    <xf numFmtId="0" fontId="30" fillId="0" borderId="24" xfId="0" applyFont="1" applyBorder="1"/>
    <xf numFmtId="0" fontId="0" fillId="0" borderId="0" xfId="0" applyAlignment="1">
      <alignment horizontal="left" vertical="top" wrapText="1"/>
    </xf>
    <xf numFmtId="0" fontId="8" fillId="0" borderId="0" xfId="0" applyFont="1"/>
    <xf numFmtId="0" fontId="3" fillId="5" borderId="30" xfId="3" applyFont="1" applyBorder="1" applyAlignment="1">
      <alignment vertical="top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6" borderId="87" xfId="0" applyFill="1" applyBorder="1" applyAlignment="1">
      <alignment horizontal="center" vertical="top" wrapText="1"/>
    </xf>
    <xf numFmtId="0" fontId="0" fillId="6" borderId="60" xfId="0" applyFill="1" applyBorder="1" applyAlignment="1">
      <alignment horizontal="center" vertical="top" wrapText="1"/>
    </xf>
    <xf numFmtId="0" fontId="0" fillId="6" borderId="61" xfId="0" applyFill="1" applyBorder="1" applyAlignment="1">
      <alignment horizontal="center" vertical="top" wrapText="1"/>
    </xf>
    <xf numFmtId="3" fontId="7" fillId="4" borderId="93" xfId="2" applyNumberFormat="1" applyBorder="1"/>
    <xf numFmtId="3" fontId="7" fillId="4" borderId="78" xfId="2" applyNumberFormat="1" applyBorder="1"/>
    <xf numFmtId="3" fontId="7" fillId="4" borderId="43" xfId="2" applyNumberFormat="1" applyBorder="1"/>
    <xf numFmtId="3" fontId="7" fillId="4" borderId="46" xfId="2" applyNumberFormat="1" applyBorder="1"/>
    <xf numFmtId="3" fontId="7" fillId="4" borderId="94" xfId="2" applyNumberFormat="1" applyBorder="1"/>
    <xf numFmtId="3" fontId="14" fillId="5" borderId="84" xfId="3" applyNumberFormat="1" applyFont="1" applyBorder="1" applyAlignment="1">
      <alignment vertical="top" wrapText="1"/>
    </xf>
    <xf numFmtId="3" fontId="14" fillId="5" borderId="53" xfId="3" applyNumberFormat="1" applyFont="1" applyBorder="1" applyAlignment="1">
      <alignment vertical="top" wrapText="1"/>
    </xf>
    <xf numFmtId="3" fontId="14" fillId="5" borderId="54" xfId="3" applyNumberFormat="1" applyFont="1" applyBorder="1" applyAlignment="1">
      <alignment vertical="top" wrapText="1"/>
    </xf>
    <xf numFmtId="3" fontId="14" fillId="5" borderId="41" xfId="3" applyNumberFormat="1" applyFont="1" applyBorder="1" applyAlignment="1">
      <alignment vertical="top" wrapText="1"/>
    </xf>
    <xf numFmtId="3" fontId="14" fillId="5" borderId="17" xfId="3" applyNumberFormat="1" applyFont="1" applyAlignment="1">
      <alignment vertical="top" wrapText="1"/>
    </xf>
    <xf numFmtId="3" fontId="14" fillId="5" borderId="55" xfId="3" applyNumberFormat="1" applyFont="1" applyBorder="1" applyAlignment="1">
      <alignment vertical="top" wrapText="1"/>
    </xf>
    <xf numFmtId="3" fontId="14" fillId="5" borderId="85" xfId="3" applyNumberFormat="1" applyFont="1" applyBorder="1" applyAlignment="1">
      <alignment vertical="top" wrapText="1"/>
    </xf>
    <xf numFmtId="3" fontId="14" fillId="5" borderId="56" xfId="3" applyNumberFormat="1" applyFont="1" applyBorder="1" applyAlignment="1">
      <alignment vertical="top" wrapText="1"/>
    </xf>
    <xf numFmtId="3" fontId="14" fillId="5" borderId="57" xfId="3" applyNumberFormat="1" applyFont="1" applyBorder="1" applyAlignment="1">
      <alignment vertical="top" wrapText="1"/>
    </xf>
    <xf numFmtId="3" fontId="14" fillId="5" borderId="84" xfId="3" applyNumberFormat="1" applyFont="1" applyBorder="1" applyAlignment="1">
      <alignment horizontal="right" vertical="top" wrapText="1"/>
    </xf>
    <xf numFmtId="3" fontId="14" fillId="5" borderId="53" xfId="3" applyNumberFormat="1" applyFont="1" applyBorder="1" applyAlignment="1">
      <alignment horizontal="right" vertical="top" wrapText="1"/>
    </xf>
    <xf numFmtId="3" fontId="14" fillId="5" borderId="41" xfId="3" applyNumberFormat="1" applyFont="1" applyBorder="1" applyAlignment="1">
      <alignment horizontal="right" vertical="top" wrapText="1"/>
    </xf>
    <xf numFmtId="3" fontId="14" fillId="5" borderId="17" xfId="3" applyNumberFormat="1" applyFont="1" applyAlignment="1">
      <alignment horizontal="right" vertical="top" wrapText="1"/>
    </xf>
    <xf numFmtId="3" fontId="14" fillId="5" borderId="85" xfId="3" applyNumberFormat="1" applyFont="1" applyBorder="1" applyAlignment="1">
      <alignment horizontal="right" vertical="top" wrapText="1"/>
    </xf>
    <xf numFmtId="3" fontId="14" fillId="5" borderId="56" xfId="3" applyNumberFormat="1" applyFont="1" applyBorder="1" applyAlignment="1">
      <alignment horizontal="right" vertical="top" wrapText="1"/>
    </xf>
    <xf numFmtId="3" fontId="7" fillId="4" borderId="95" xfId="2" applyNumberFormat="1" applyBorder="1" applyAlignment="1">
      <alignment horizontal="right" vertical="top" wrapText="1"/>
    </xf>
    <xf numFmtId="3" fontId="7" fillId="4" borderId="52" xfId="2" applyNumberFormat="1" applyBorder="1" applyAlignment="1">
      <alignment horizontal="right" vertical="top" wrapText="1"/>
    </xf>
    <xf numFmtId="3" fontId="7" fillId="4" borderId="47" xfId="2" applyNumberFormat="1" applyBorder="1" applyAlignment="1">
      <alignment vertical="top" wrapText="1"/>
    </xf>
    <xf numFmtId="3" fontId="7" fillId="4" borderId="44" xfId="2" applyNumberFormat="1" applyBorder="1" applyAlignment="1">
      <alignment vertical="top" wrapText="1"/>
    </xf>
    <xf numFmtId="3" fontId="7" fillId="4" borderId="96" xfId="2" applyNumberFormat="1" applyBorder="1" applyAlignment="1">
      <alignment vertical="top" wrapText="1"/>
    </xf>
    <xf numFmtId="3" fontId="7" fillId="4" borderId="16" xfId="2" applyNumberFormat="1" applyAlignment="1">
      <alignment vertical="top" wrapText="1"/>
    </xf>
    <xf numFmtId="0" fontId="35" fillId="0" borderId="0" xfId="0" applyFont="1"/>
    <xf numFmtId="0" fontId="35" fillId="0" borderId="0" xfId="0" applyFont="1" applyAlignment="1">
      <alignment horizontal="right"/>
    </xf>
    <xf numFmtId="0" fontId="37" fillId="0" borderId="0" xfId="0" applyFont="1" applyAlignment="1">
      <alignment horizontal="center" vertical="center" wrapText="1"/>
    </xf>
    <xf numFmtId="0" fontId="36" fillId="12" borderId="80" xfId="0" applyFont="1" applyFill="1" applyBorder="1" applyAlignment="1">
      <alignment vertical="top"/>
    </xf>
    <xf numFmtId="0" fontId="36" fillId="12" borderId="0" xfId="0" applyFont="1" applyFill="1" applyAlignment="1">
      <alignment vertical="top"/>
    </xf>
    <xf numFmtId="0" fontId="36" fillId="12" borderId="24" xfId="0" applyFont="1" applyFill="1" applyBorder="1" applyAlignment="1">
      <alignment vertical="top"/>
    </xf>
    <xf numFmtId="0" fontId="36" fillId="0" borderId="0" xfId="0" applyFont="1" applyAlignment="1">
      <alignment vertical="top" wrapText="1"/>
    </xf>
    <xf numFmtId="0" fontId="40" fillId="14" borderId="29" xfId="0" applyFont="1" applyFill="1" applyBorder="1"/>
    <xf numFmtId="1" fontId="40" fillId="0" borderId="0" xfId="0" applyNumberFormat="1" applyFont="1"/>
    <xf numFmtId="0" fontId="41" fillId="0" borderId="0" xfId="0" applyFont="1"/>
    <xf numFmtId="4" fontId="7" fillId="4" borderId="50" xfId="2" applyNumberFormat="1" applyBorder="1" applyAlignment="1">
      <alignment horizontal="right" vertical="top" wrapText="1"/>
    </xf>
    <xf numFmtId="4" fontId="0" fillId="0" borderId="0" xfId="0" applyNumberFormat="1" applyAlignment="1">
      <alignment horizontal="left" vertical="top" wrapText="1"/>
    </xf>
    <xf numFmtId="0" fontId="2" fillId="6" borderId="58" xfId="0" applyFont="1" applyFill="1" applyBorder="1" applyAlignment="1">
      <alignment horizontal="center" vertical="top" wrapText="1"/>
    </xf>
    <xf numFmtId="0" fontId="2" fillId="6" borderId="87" xfId="0" applyFont="1" applyFill="1" applyBorder="1" applyAlignment="1">
      <alignment horizontal="center" vertical="top" wrapText="1"/>
    </xf>
    <xf numFmtId="0" fontId="2" fillId="6" borderId="60" xfId="0" applyFont="1" applyFill="1" applyBorder="1" applyAlignment="1">
      <alignment horizontal="center" vertical="top" wrapText="1"/>
    </xf>
    <xf numFmtId="0" fontId="2" fillId="6" borderId="61" xfId="0" applyFont="1" applyFill="1" applyBorder="1" applyAlignment="1">
      <alignment horizontal="center" vertical="top" wrapText="1"/>
    </xf>
    <xf numFmtId="0" fontId="2" fillId="0" borderId="38" xfId="0" applyFont="1" applyBorder="1" applyAlignment="1">
      <alignment horizontal="left"/>
    </xf>
    <xf numFmtId="3" fontId="7" fillId="4" borderId="102" xfId="2" applyNumberFormat="1" applyBorder="1"/>
    <xf numFmtId="3" fontId="7" fillId="4" borderId="16" xfId="2" applyNumberFormat="1"/>
    <xf numFmtId="4" fontId="7" fillId="4" borderId="103" xfId="2" applyNumberFormat="1" applyBorder="1" applyAlignment="1">
      <alignment horizontal="right" vertical="top" wrapText="1"/>
    </xf>
    <xf numFmtId="4" fontId="7" fillId="0" borderId="0" xfId="2" applyNumberFormat="1" applyFill="1" applyBorder="1" applyAlignment="1">
      <alignment horizontal="right" vertical="top" wrapText="1"/>
    </xf>
    <xf numFmtId="4" fontId="0" fillId="0" borderId="0" xfId="0" applyNumberFormat="1"/>
    <xf numFmtId="4" fontId="7" fillId="4" borderId="105" xfId="2" applyNumberFormat="1" applyBorder="1" applyAlignment="1">
      <alignment horizontal="right" vertical="top" wrapText="1"/>
    </xf>
    <xf numFmtId="0" fontId="8" fillId="0" borderId="8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0" fillId="0" borderId="6" xfId="0" applyBorder="1"/>
    <xf numFmtId="0" fontId="0" fillId="0" borderId="5" xfId="0" applyBorder="1"/>
    <xf numFmtId="0" fontId="0" fillId="0" borderId="65" xfId="0" applyBorder="1" applyAlignment="1">
      <alignment horizontal="center" vertical="center"/>
    </xf>
    <xf numFmtId="0" fontId="0" fillId="0" borderId="13" xfId="0" applyBorder="1"/>
    <xf numFmtId="4" fontId="7" fillId="4" borderId="118" xfId="2" applyNumberFormat="1" applyBorder="1" applyAlignment="1">
      <alignment horizontal="right" vertical="top" wrapText="1"/>
    </xf>
    <xf numFmtId="4" fontId="7" fillId="4" borderId="117" xfId="2" applyNumberFormat="1" applyBorder="1" applyAlignment="1">
      <alignment horizontal="right" vertical="top" wrapText="1"/>
    </xf>
    <xf numFmtId="2" fontId="35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9" fillId="0" borderId="28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4" fontId="45" fillId="4" borderId="118" xfId="2" applyNumberFormat="1" applyFont="1" applyBorder="1" applyAlignment="1">
      <alignment horizontal="left" vertical="center" wrapText="1"/>
    </xf>
    <xf numFmtId="4" fontId="7" fillId="15" borderId="117" xfId="2" applyNumberFormat="1" applyFill="1" applyBorder="1" applyAlignment="1">
      <alignment horizontal="right" vertical="center" wrapText="1"/>
    </xf>
    <xf numFmtId="167" fontId="44" fillId="15" borderId="117" xfId="4" applyNumberFormat="1" applyFont="1" applyFill="1" applyBorder="1" applyAlignment="1">
      <alignment horizontal="right" vertical="center" wrapText="1"/>
    </xf>
    <xf numFmtId="3" fontId="44" fillId="15" borderId="117" xfId="4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right" vertical="center"/>
    </xf>
    <xf numFmtId="4" fontId="47" fillId="9" borderId="117" xfId="2" applyNumberFormat="1" applyFont="1" applyFill="1" applyBorder="1" applyAlignment="1">
      <alignment horizontal="right" vertical="center" wrapText="1"/>
    </xf>
    <xf numFmtId="167" fontId="48" fillId="9" borderId="117" xfId="4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vertical="center"/>
    </xf>
    <xf numFmtId="3" fontId="48" fillId="9" borderId="117" xfId="4" applyNumberFormat="1" applyFont="1" applyFill="1" applyBorder="1" applyAlignment="1">
      <alignment horizontal="right" vertical="center" wrapText="1"/>
    </xf>
    <xf numFmtId="2" fontId="3" fillId="17" borderId="80" xfId="1" applyNumberFormat="1" applyFont="1" applyFill="1" applyBorder="1" applyAlignment="1">
      <alignment vertical="top" wrapText="1"/>
    </xf>
    <xf numFmtId="1" fontId="50" fillId="3" borderId="5" xfId="1" applyNumberFormat="1" applyFont="1" applyBorder="1" applyAlignment="1">
      <alignment horizontal="right" vertical="top" wrapText="1"/>
    </xf>
    <xf numFmtId="0" fontId="32" fillId="0" borderId="0" xfId="0" applyFont="1"/>
    <xf numFmtId="0" fontId="9" fillId="0" borderId="0" xfId="0" applyFont="1" applyAlignment="1">
      <alignment horizontal="center" vertical="top" wrapText="1"/>
    </xf>
    <xf numFmtId="3" fontId="7" fillId="0" borderId="0" xfId="2" applyNumberFormat="1" applyFill="1" applyBorder="1"/>
    <xf numFmtId="0" fontId="8" fillId="0" borderId="61" xfId="0" applyFont="1" applyBorder="1"/>
    <xf numFmtId="0" fontId="8" fillId="0" borderId="120" xfId="0" applyFont="1" applyBorder="1"/>
    <xf numFmtId="0" fontId="0" fillId="0" borderId="121" xfId="0" applyBorder="1" applyAlignment="1">
      <alignment horizontal="left"/>
    </xf>
    <xf numFmtId="0" fontId="9" fillId="7" borderId="30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right"/>
    </xf>
    <xf numFmtId="0" fontId="32" fillId="0" borderId="6" xfId="0" applyFont="1" applyBorder="1"/>
    <xf numFmtId="0" fontId="34" fillId="0" borderId="24" xfId="0" applyFont="1" applyBorder="1"/>
    <xf numFmtId="9" fontId="0" fillId="0" borderId="19" xfId="4" applyFont="1" applyBorder="1" applyAlignment="1">
      <alignment wrapText="1"/>
    </xf>
    <xf numFmtId="4" fontId="0" fillId="0" borderId="20" xfId="0" applyNumberFormat="1" applyBorder="1" applyAlignment="1">
      <alignment wrapText="1"/>
    </xf>
    <xf numFmtId="9" fontId="0" fillId="0" borderId="0" xfId="4" applyFont="1"/>
    <xf numFmtId="4" fontId="0" fillId="0" borderId="20" xfId="0" applyNumberFormat="1" applyBorder="1"/>
    <xf numFmtId="9" fontId="0" fillId="0" borderId="0" xfId="4" applyFont="1" applyAlignment="1">
      <alignment wrapText="1"/>
    </xf>
    <xf numFmtId="2" fontId="0" fillId="0" borderId="20" xfId="0" applyNumberFormat="1" applyBorder="1" applyAlignment="1">
      <alignment wrapText="1"/>
    </xf>
    <xf numFmtId="2" fontId="0" fillId="0" borderId="124" xfId="0" applyNumberFormat="1" applyBorder="1" applyAlignment="1">
      <alignment wrapText="1"/>
    </xf>
    <xf numFmtId="2" fontId="0" fillId="0" borderId="20" xfId="0" applyNumberFormat="1" applyBorder="1"/>
    <xf numFmtId="2" fontId="0" fillId="0" borderId="124" xfId="0" applyNumberFormat="1" applyBorder="1"/>
    <xf numFmtId="9" fontId="8" fillId="10" borderId="19" xfId="4" applyFont="1" applyFill="1" applyBorder="1" applyAlignment="1">
      <alignment wrapText="1"/>
    </xf>
    <xf numFmtId="9" fontId="8" fillId="10" borderId="123" xfId="4" applyFont="1" applyFill="1" applyBorder="1" applyAlignment="1">
      <alignment wrapText="1"/>
    </xf>
    <xf numFmtId="9" fontId="8" fillId="10" borderId="19" xfId="4" applyFont="1" applyFill="1" applyBorder="1"/>
    <xf numFmtId="9" fontId="8" fillId="10" borderId="123" xfId="4" applyFont="1" applyFill="1" applyBorder="1"/>
    <xf numFmtId="0" fontId="8" fillId="10" borderId="0" xfId="0" applyFont="1" applyFill="1" applyAlignment="1">
      <alignment wrapText="1"/>
    </xf>
    <xf numFmtId="4" fontId="8" fillId="10" borderId="0" xfId="0" applyNumberFormat="1" applyFont="1" applyFill="1" applyAlignment="1">
      <alignment wrapText="1"/>
    </xf>
    <xf numFmtId="0" fontId="8" fillId="10" borderId="20" xfId="0" applyFont="1" applyFill="1" applyBorder="1" applyAlignment="1">
      <alignment horizontal="right" wrapText="1"/>
    </xf>
    <xf numFmtId="0" fontId="8" fillId="10" borderId="19" xfId="0" applyFont="1" applyFill="1" applyBorder="1" applyAlignment="1">
      <alignment horizontal="right" wrapText="1"/>
    </xf>
    <xf numFmtId="0" fontId="8" fillId="10" borderId="122" xfId="0" applyFont="1" applyFill="1" applyBorder="1" applyAlignment="1">
      <alignment horizontal="right"/>
    </xf>
    <xf numFmtId="0" fontId="8" fillId="10" borderId="116" xfId="0" applyFont="1" applyFill="1" applyBorder="1" applyAlignment="1">
      <alignment horizontal="right"/>
    </xf>
    <xf numFmtId="4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4" fontId="8" fillId="0" borderId="0" xfId="0" applyNumberFormat="1" applyFont="1" applyAlignment="1">
      <alignment wrapText="1"/>
    </xf>
    <xf numFmtId="9" fontId="8" fillId="19" borderId="20" xfId="4" applyFont="1" applyFill="1" applyBorder="1" applyAlignment="1">
      <alignment wrapText="1"/>
    </xf>
    <xf numFmtId="2" fontId="0" fillId="0" borderId="0" xfId="0" applyNumberFormat="1"/>
    <xf numFmtId="9" fontId="8" fillId="19" borderId="21" xfId="4" applyFont="1" applyFill="1" applyBorder="1" applyAlignment="1">
      <alignment wrapText="1"/>
    </xf>
    <xf numFmtId="2" fontId="0" fillId="0" borderId="21" xfId="0" applyNumberFormat="1" applyBorder="1" applyAlignment="1">
      <alignment wrapText="1"/>
    </xf>
    <xf numFmtId="2" fontId="0" fillId="0" borderId="21" xfId="0" applyNumberFormat="1" applyBorder="1"/>
    <xf numFmtId="9" fontId="8" fillId="19" borderId="123" xfId="4" applyFont="1" applyFill="1" applyBorder="1" applyAlignment="1">
      <alignment wrapText="1"/>
    </xf>
    <xf numFmtId="9" fontId="8" fillId="19" borderId="124" xfId="4" applyFont="1" applyFill="1" applyBorder="1" applyAlignment="1">
      <alignment wrapText="1"/>
    </xf>
    <xf numFmtId="9" fontId="8" fillId="19" borderId="116" xfId="4" applyFont="1" applyFill="1" applyBorder="1" applyAlignment="1">
      <alignment wrapText="1"/>
    </xf>
    <xf numFmtId="0" fontId="40" fillId="14" borderId="15" xfId="0" applyFont="1" applyFill="1" applyBorder="1"/>
    <xf numFmtId="0" fontId="0" fillId="17" borderId="60" xfId="0" applyFill="1" applyBorder="1"/>
    <xf numFmtId="0" fontId="0" fillId="17" borderId="22" xfId="0" applyFill="1" applyBorder="1"/>
    <xf numFmtId="0" fontId="0" fillId="17" borderId="86" xfId="0" applyFill="1" applyBorder="1"/>
    <xf numFmtId="0" fontId="0" fillId="17" borderId="114" xfId="0" applyFill="1" applyBorder="1"/>
    <xf numFmtId="0" fontId="38" fillId="17" borderId="133" xfId="0" applyFont="1" applyFill="1" applyBorder="1" applyAlignment="1">
      <alignment vertical="center"/>
    </xf>
    <xf numFmtId="0" fontId="38" fillId="17" borderId="132" xfId="0" applyFont="1" applyFill="1" applyBorder="1" applyAlignment="1">
      <alignment vertical="center"/>
    </xf>
    <xf numFmtId="0" fontId="36" fillId="12" borderId="23" xfId="0" applyFont="1" applyFill="1" applyBorder="1" applyAlignment="1">
      <alignment vertical="center"/>
    </xf>
    <xf numFmtId="0" fontId="36" fillId="12" borderId="8" xfId="0" applyFont="1" applyFill="1" applyBorder="1" applyAlignment="1">
      <alignment vertical="center" wrapText="1"/>
    </xf>
    <xf numFmtId="0" fontId="36" fillId="12" borderId="14" xfId="0" applyFont="1" applyFill="1" applyBorder="1" applyAlignment="1">
      <alignment vertical="center"/>
    </xf>
    <xf numFmtId="0" fontId="36" fillId="12" borderId="13" xfId="0" applyFont="1" applyFill="1" applyBorder="1" applyAlignment="1">
      <alignment vertical="center"/>
    </xf>
    <xf numFmtId="0" fontId="36" fillId="12" borderId="24" xfId="0" applyFont="1" applyFill="1" applyBorder="1" applyAlignment="1">
      <alignment horizontal="center" vertical="center" wrapText="1"/>
    </xf>
    <xf numFmtId="0" fontId="36" fillId="12" borderId="0" xfId="0" applyFont="1" applyFill="1" applyAlignment="1">
      <alignment horizontal="center" vertical="center" wrapText="1"/>
    </xf>
    <xf numFmtId="0" fontId="35" fillId="0" borderId="130" xfId="0" applyFont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horizontal="center" vertical="center" wrapText="1"/>
    </xf>
    <xf numFmtId="2" fontId="40" fillId="14" borderId="30" xfId="0" applyNumberFormat="1" applyFont="1" applyFill="1" applyBorder="1" applyAlignment="1">
      <alignment horizontal="center" vertical="center"/>
    </xf>
    <xf numFmtId="0" fontId="36" fillId="12" borderId="14" xfId="0" applyFont="1" applyFill="1" applyBorder="1" applyAlignment="1">
      <alignment horizontal="center" vertical="center"/>
    </xf>
    <xf numFmtId="0" fontId="36" fillId="12" borderId="23" xfId="0" applyFont="1" applyFill="1" applyBorder="1" applyAlignment="1">
      <alignment horizontal="center" vertical="center"/>
    </xf>
    <xf numFmtId="0" fontId="36" fillId="12" borderId="13" xfId="0" applyFont="1" applyFill="1" applyBorder="1" applyAlignment="1">
      <alignment horizontal="center" vertical="center"/>
    </xf>
    <xf numFmtId="0" fontId="36" fillId="12" borderId="24" xfId="0" applyFont="1" applyFill="1" applyBorder="1" applyAlignment="1">
      <alignment horizontal="center" vertical="center"/>
    </xf>
    <xf numFmtId="0" fontId="36" fillId="12" borderId="0" xfId="0" applyFont="1" applyFill="1" applyAlignment="1">
      <alignment horizontal="center" vertical="center"/>
    </xf>
    <xf numFmtId="0" fontId="36" fillId="12" borderId="6" xfId="0" applyFont="1" applyFill="1" applyBorder="1" applyAlignment="1">
      <alignment horizontal="center" vertical="center"/>
    </xf>
    <xf numFmtId="0" fontId="40" fillId="14" borderId="29" xfId="0" applyFont="1" applyFill="1" applyBorder="1" applyAlignment="1">
      <alignment horizontal="center" vertical="center"/>
    </xf>
    <xf numFmtId="0" fontId="36" fillId="12" borderId="8" xfId="0" applyFont="1" applyFill="1" applyBorder="1" applyAlignment="1">
      <alignment horizontal="left" vertical="center"/>
    </xf>
    <xf numFmtId="0" fontId="36" fillId="12" borderId="23" xfId="0" applyFont="1" applyFill="1" applyBorder="1" applyAlignment="1">
      <alignment horizontal="left" vertical="center"/>
    </xf>
    <xf numFmtId="0" fontId="39" fillId="17" borderId="133" xfId="0" applyFont="1" applyFill="1" applyBorder="1" applyAlignment="1">
      <alignment horizontal="left" vertical="center"/>
    </xf>
    <xf numFmtId="0" fontId="40" fillId="14" borderId="15" xfId="0" applyFont="1" applyFill="1" applyBorder="1" applyAlignment="1">
      <alignment horizontal="left" vertical="center"/>
    </xf>
    <xf numFmtId="3" fontId="7" fillId="4" borderId="141" xfId="2" applyNumberFormat="1" applyBorder="1" applyAlignment="1">
      <alignment horizontal="right" vertical="top" wrapText="1"/>
    </xf>
    <xf numFmtId="3" fontId="14" fillId="5" borderId="100" xfId="3" applyNumberFormat="1" applyFont="1" applyBorder="1" applyAlignment="1">
      <alignment horizontal="right" vertical="top" wrapText="1"/>
    </xf>
    <xf numFmtId="3" fontId="14" fillId="5" borderId="142" xfId="3" applyNumberFormat="1" applyFont="1" applyBorder="1" applyAlignment="1">
      <alignment horizontal="right" vertical="top" wrapText="1"/>
    </xf>
    <xf numFmtId="3" fontId="14" fillId="5" borderId="143" xfId="3" applyNumberFormat="1" applyFont="1" applyBorder="1" applyAlignment="1">
      <alignment horizontal="right" vertical="top" wrapText="1"/>
    </xf>
    <xf numFmtId="3" fontId="7" fillId="4" borderId="144" xfId="2" applyNumberFormat="1" applyBorder="1" applyAlignment="1">
      <alignment vertical="top" wrapText="1"/>
    </xf>
    <xf numFmtId="3" fontId="14" fillId="5" borderId="100" xfId="3" applyNumberFormat="1" applyFont="1" applyBorder="1" applyAlignment="1">
      <alignment vertical="top" wrapText="1"/>
    </xf>
    <xf numFmtId="3" fontId="14" fillId="5" borderId="142" xfId="3" applyNumberFormat="1" applyFont="1" applyBorder="1" applyAlignment="1">
      <alignment vertical="top" wrapText="1"/>
    </xf>
    <xf numFmtId="3" fontId="14" fillId="5" borderId="143" xfId="3" applyNumberFormat="1" applyFont="1" applyBorder="1" applyAlignment="1">
      <alignment vertical="top" wrapText="1"/>
    </xf>
    <xf numFmtId="3" fontId="7" fillId="4" borderId="106" xfId="2" applyNumberFormat="1" applyBorder="1" applyAlignment="1">
      <alignment horizontal="right" vertical="top" wrapText="1"/>
    </xf>
    <xf numFmtId="3" fontId="7" fillId="4" borderId="108" xfId="2" applyNumberFormat="1" applyBorder="1" applyAlignment="1">
      <alignment vertical="top" wrapText="1"/>
    </xf>
    <xf numFmtId="0" fontId="0" fillId="0" borderId="0" xfId="0" applyAlignment="1">
      <alignment horizontal="center"/>
    </xf>
    <xf numFmtId="0" fontId="8" fillId="19" borderId="0" xfId="0" applyFont="1" applyFill="1"/>
    <xf numFmtId="0" fontId="8" fillId="19" borderId="0" xfId="0" applyFont="1" applyFill="1" applyAlignment="1">
      <alignment horizontal="left"/>
    </xf>
    <xf numFmtId="0" fontId="8" fillId="0" borderId="69" xfId="0" applyFont="1" applyBorder="1" applyAlignment="1">
      <alignment horizontal="center" vertical="center" wrapText="1"/>
    </xf>
    <xf numFmtId="0" fontId="33" fillId="0" borderId="148" xfId="0" applyFont="1" applyBorder="1" applyAlignment="1">
      <alignment horizontal="center" wrapText="1"/>
    </xf>
    <xf numFmtId="0" fontId="33" fillId="0" borderId="150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1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14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145" xfId="0" applyBorder="1" applyAlignment="1">
      <alignment horizontal="center" vertical="center" wrapText="1"/>
    </xf>
    <xf numFmtId="0" fontId="0" fillId="0" borderId="146" xfId="0" applyBorder="1" applyAlignment="1">
      <alignment horizontal="center" vertical="center" wrapText="1"/>
    </xf>
    <xf numFmtId="0" fontId="0" fillId="17" borderId="113" xfId="0" applyFill="1" applyBorder="1"/>
    <xf numFmtId="0" fontId="0" fillId="17" borderId="114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113" xfId="0" applyFill="1" applyBorder="1" applyAlignment="1">
      <alignment horizontal="center"/>
    </xf>
    <xf numFmtId="0" fontId="33" fillId="0" borderId="147" xfId="0" applyFont="1" applyBorder="1" applyAlignment="1">
      <alignment horizontal="center" wrapText="1"/>
    </xf>
    <xf numFmtId="0" fontId="0" fillId="17" borderId="124" xfId="0" applyFill="1" applyBorder="1" applyAlignment="1">
      <alignment horizontal="center"/>
    </xf>
    <xf numFmtId="0" fontId="34" fillId="9" borderId="69" xfId="0" applyFont="1" applyFill="1" applyBorder="1" applyAlignment="1">
      <alignment horizontal="left" vertical="top"/>
    </xf>
    <xf numFmtId="0" fontId="0" fillId="17" borderId="151" xfId="0" applyFill="1" applyBorder="1"/>
    <xf numFmtId="0" fontId="0" fillId="17" borderId="145" xfId="0" applyFill="1" applyBorder="1" applyAlignment="1">
      <alignment horizontal="left"/>
    </xf>
    <xf numFmtId="0" fontId="0" fillId="17" borderId="145" xfId="0" applyFill="1" applyBorder="1" applyAlignment="1">
      <alignment horizontal="center"/>
    </xf>
    <xf numFmtId="0" fontId="0" fillId="17" borderId="146" xfId="0" applyFill="1" applyBorder="1"/>
    <xf numFmtId="0" fontId="33" fillId="0" borderId="149" xfId="0" applyFont="1" applyBorder="1" applyAlignment="1">
      <alignment wrapText="1"/>
    </xf>
    <xf numFmtId="0" fontId="0" fillId="17" borderId="123" xfId="0" applyFill="1" applyBorder="1" applyAlignment="1">
      <alignment horizontal="center"/>
    </xf>
    <xf numFmtId="0" fontId="0" fillId="17" borderId="125" xfId="0" applyFill="1" applyBorder="1" applyAlignment="1">
      <alignment horizontal="center"/>
    </xf>
    <xf numFmtId="0" fontId="0" fillId="17" borderId="125" xfId="0" applyFill="1" applyBorder="1"/>
    <xf numFmtId="0" fontId="33" fillId="0" borderId="29" xfId="0" applyFont="1" applyBorder="1" applyAlignment="1">
      <alignment horizontal="center" wrapText="1"/>
    </xf>
    <xf numFmtId="0" fontId="0" fillId="17" borderId="151" xfId="0" applyFill="1" applyBorder="1" applyAlignment="1">
      <alignment horizontal="center"/>
    </xf>
    <xf numFmtId="0" fontId="0" fillId="17" borderId="22" xfId="0" applyFill="1" applyBorder="1" applyAlignment="1">
      <alignment horizontal="center" vertical="top" wrapText="1"/>
    </xf>
    <xf numFmtId="0" fontId="58" fillId="0" borderId="0" xfId="0" applyFont="1"/>
    <xf numFmtId="2" fontId="40" fillId="14" borderId="69" xfId="0" applyNumberFormat="1" applyFont="1" applyFill="1" applyBorder="1" applyAlignment="1">
      <alignment horizontal="center" vertical="center"/>
    </xf>
    <xf numFmtId="2" fontId="40" fillId="14" borderId="29" xfId="0" applyNumberFormat="1" applyFont="1" applyFill="1" applyBorder="1" applyAlignment="1">
      <alignment horizontal="center" vertical="center"/>
    </xf>
    <xf numFmtId="0" fontId="36" fillId="12" borderId="6" xfId="0" applyFont="1" applyFill="1" applyBorder="1" applyAlignment="1">
      <alignment vertical="center"/>
    </xf>
    <xf numFmtId="0" fontId="36" fillId="12" borderId="0" xfId="0" applyFont="1" applyFill="1" applyAlignment="1">
      <alignment vertical="center"/>
    </xf>
    <xf numFmtId="0" fontId="36" fillId="12" borderId="24" xfId="0" applyFont="1" applyFill="1" applyBorder="1" applyAlignment="1">
      <alignment vertical="center"/>
    </xf>
    <xf numFmtId="0" fontId="36" fillId="12" borderId="80" xfId="0" applyFont="1" applyFill="1" applyBorder="1" applyAlignment="1">
      <alignment vertical="center" wrapText="1"/>
    </xf>
    <xf numFmtId="0" fontId="8" fillId="9" borderId="152" xfId="0" applyFont="1" applyFill="1" applyBorder="1"/>
    <xf numFmtId="0" fontId="8" fillId="9" borderId="148" xfId="0" applyFont="1" applyFill="1" applyBorder="1"/>
    <xf numFmtId="0" fontId="8" fillId="9" borderId="150" xfId="0" applyFont="1" applyFill="1" applyBorder="1"/>
    <xf numFmtId="0" fontId="0" fillId="25" borderId="114" xfId="0" applyFill="1" applyBorder="1"/>
    <xf numFmtId="0" fontId="0" fillId="25" borderId="22" xfId="0" applyFill="1" applyBorder="1"/>
    <xf numFmtId="0" fontId="33" fillId="17" borderId="22" xfId="0" applyFont="1" applyFill="1" applyBorder="1"/>
    <xf numFmtId="0" fontId="42" fillId="17" borderId="155" xfId="0" applyFont="1" applyFill="1" applyBorder="1" applyAlignment="1">
      <alignment horizontal="center" vertical="center"/>
    </xf>
    <xf numFmtId="0" fontId="42" fillId="17" borderId="156" xfId="0" applyFont="1" applyFill="1" applyBorder="1" applyAlignment="1">
      <alignment horizontal="center" vertical="center"/>
    </xf>
    <xf numFmtId="0" fontId="0" fillId="25" borderId="22" xfId="0" applyFill="1" applyBorder="1" applyAlignment="1">
      <alignment wrapText="1"/>
    </xf>
    <xf numFmtId="0" fontId="60" fillId="21" borderId="114" xfId="6" applyFont="1" applyFill="1" applyBorder="1" applyAlignment="1">
      <alignment vertical="center"/>
    </xf>
    <xf numFmtId="0" fontId="60" fillId="21" borderId="22" xfId="6" applyFont="1" applyFill="1" applyBorder="1" applyAlignment="1">
      <alignment vertical="center"/>
    </xf>
    <xf numFmtId="0" fontId="0" fillId="17" borderId="22" xfId="0" applyFill="1" applyBorder="1" applyAlignment="1">
      <alignment wrapText="1"/>
    </xf>
    <xf numFmtId="0" fontId="8" fillId="0" borderId="60" xfId="0" applyFont="1" applyBorder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/>
    </xf>
    <xf numFmtId="0" fontId="8" fillId="19" borderId="125" xfId="0" applyFont="1" applyFill="1" applyBorder="1"/>
    <xf numFmtId="0" fontId="8" fillId="19" borderId="34" xfId="0" applyFont="1" applyFill="1" applyBorder="1"/>
    <xf numFmtId="0" fontId="8" fillId="19" borderId="113" xfId="0" applyFont="1" applyFill="1" applyBorder="1"/>
    <xf numFmtId="166" fontId="8" fillId="19" borderId="22" xfId="5" applyNumberFormat="1" applyFont="1" applyFill="1" applyBorder="1"/>
    <xf numFmtId="166" fontId="8" fillId="19" borderId="125" xfId="5" applyNumberFormat="1" applyFont="1" applyFill="1" applyBorder="1"/>
    <xf numFmtId="0" fontId="8" fillId="0" borderId="125" xfId="0" applyFont="1" applyBorder="1"/>
    <xf numFmtId="0" fontId="8" fillId="22" borderId="34" xfId="0" applyFont="1" applyFill="1" applyBorder="1"/>
    <xf numFmtId="0" fontId="8" fillId="22" borderId="113" xfId="0" applyFont="1" applyFill="1" applyBorder="1"/>
    <xf numFmtId="0" fontId="8" fillId="21" borderId="125" xfId="0" applyFont="1" applyFill="1" applyBorder="1"/>
    <xf numFmtId="0" fontId="8" fillId="21" borderId="34" xfId="0" applyFont="1" applyFill="1" applyBorder="1"/>
    <xf numFmtId="0" fontId="0" fillId="21" borderId="113" xfId="0" applyFill="1" applyBorder="1"/>
    <xf numFmtId="0" fontId="8" fillId="21" borderId="122" xfId="0" applyFont="1" applyFill="1" applyBorder="1"/>
    <xf numFmtId="0" fontId="8" fillId="21" borderId="18" xfId="0" applyFont="1" applyFill="1" applyBorder="1"/>
    <xf numFmtId="0" fontId="0" fillId="21" borderId="116" xfId="0" applyFill="1" applyBorder="1"/>
    <xf numFmtId="4" fontId="14" fillId="5" borderId="41" xfId="3" applyNumberFormat="1" applyFont="1" applyBorder="1" applyAlignment="1" applyProtection="1">
      <alignment horizontal="right" vertical="top" wrapText="1"/>
      <protection locked="0"/>
    </xf>
    <xf numFmtId="4" fontId="14" fillId="5" borderId="17" xfId="3" applyNumberFormat="1" applyFont="1" applyAlignment="1" applyProtection="1">
      <alignment horizontal="right" vertical="top" wrapText="1"/>
      <protection locked="0"/>
    </xf>
    <xf numFmtId="4" fontId="14" fillId="5" borderId="104" xfId="3" applyNumberFormat="1" applyFont="1" applyBorder="1" applyAlignment="1" applyProtection="1">
      <alignment horizontal="right" vertical="top" wrapText="1"/>
      <protection locked="0"/>
    </xf>
    <xf numFmtId="4" fontId="14" fillId="5" borderId="101" xfId="3" applyNumberFormat="1" applyFont="1" applyBorder="1" applyAlignment="1" applyProtection="1">
      <alignment horizontal="right" vertical="top" wrapText="1"/>
      <protection locked="0"/>
    </xf>
    <xf numFmtId="0" fontId="0" fillId="18" borderId="0" xfId="0" applyFill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9" fillId="18" borderId="0" xfId="0" applyFont="1" applyFill="1" applyAlignment="1">
      <alignment horizontal="left" vertical="top" wrapText="1"/>
    </xf>
    <xf numFmtId="0" fontId="9" fillId="18" borderId="15" xfId="0" applyFont="1" applyFill="1" applyBorder="1" applyAlignment="1">
      <alignment horizontal="left" vertical="top" wrapText="1"/>
    </xf>
    <xf numFmtId="0" fontId="9" fillId="18" borderId="26" xfId="0" applyFont="1" applyFill="1" applyBorder="1" applyAlignment="1">
      <alignment horizontal="left" vertical="top" wrapText="1"/>
    </xf>
    <xf numFmtId="0" fontId="9" fillId="18" borderId="5" xfId="0" applyFont="1" applyFill="1" applyBorder="1" applyAlignment="1">
      <alignment horizontal="left" vertical="top" wrapText="1"/>
    </xf>
    <xf numFmtId="0" fontId="9" fillId="18" borderId="0" xfId="0" applyFont="1" applyFill="1" applyAlignment="1">
      <alignment horizontal="center" vertical="top" wrapText="1"/>
    </xf>
    <xf numFmtId="0" fontId="9" fillId="18" borderId="27" xfId="0" applyFont="1" applyFill="1" applyBorder="1" applyAlignment="1">
      <alignment horizontal="center" vertical="top" wrapText="1"/>
    </xf>
    <xf numFmtId="0" fontId="9" fillId="18" borderId="19" xfId="0" applyFont="1" applyFill="1" applyBorder="1" applyAlignment="1">
      <alignment horizontal="center" vertical="top" wrapText="1"/>
    </xf>
    <xf numFmtId="0" fontId="9" fillId="18" borderId="5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168" fontId="0" fillId="0" borderId="14" xfId="5" applyNumberFormat="1" applyFont="1" applyBorder="1" applyAlignment="1">
      <alignment horizontal="center" vertical="center" wrapText="1"/>
    </xf>
    <xf numFmtId="168" fontId="0" fillId="0" borderId="23" xfId="5" applyNumberFormat="1" applyFont="1" applyBorder="1" applyAlignment="1">
      <alignment horizontal="center" vertical="center" wrapText="1"/>
    </xf>
    <xf numFmtId="168" fontId="0" fillId="0" borderId="13" xfId="5" applyNumberFormat="1" applyFont="1" applyBorder="1" applyAlignment="1">
      <alignment horizontal="center" vertical="center" wrapText="1"/>
    </xf>
    <xf numFmtId="168" fontId="14" fillId="5" borderId="84" xfId="5" applyNumberFormat="1" applyFont="1" applyFill="1" applyBorder="1" applyAlignment="1">
      <alignment horizontal="center" vertical="center" wrapText="1"/>
    </xf>
    <xf numFmtId="168" fontId="14" fillId="5" borderId="53" xfId="5" applyNumberFormat="1" applyFont="1" applyFill="1" applyBorder="1" applyAlignment="1">
      <alignment horizontal="center" vertical="center" wrapText="1"/>
    </xf>
    <xf numFmtId="168" fontId="56" fillId="20" borderId="53" xfId="5" applyNumberFormat="1" applyFont="1" applyFill="1" applyBorder="1" applyAlignment="1">
      <alignment horizontal="center" vertical="center" wrapText="1"/>
    </xf>
    <xf numFmtId="168" fontId="14" fillId="5" borderId="100" xfId="5" applyNumberFormat="1" applyFont="1" applyFill="1" applyBorder="1" applyAlignment="1">
      <alignment horizontal="center" vertical="center" wrapText="1"/>
    </xf>
    <xf numFmtId="168" fontId="56" fillId="20" borderId="54" xfId="5" applyNumberFormat="1" applyFont="1" applyFill="1" applyBorder="1" applyAlignment="1">
      <alignment horizontal="center" vertical="center" wrapText="1"/>
    </xf>
    <xf numFmtId="9" fontId="33" fillId="0" borderId="0" xfId="4" applyFont="1" applyAlignment="1">
      <alignment horizontal="left" vertical="top" wrapText="1"/>
    </xf>
    <xf numFmtId="168" fontId="0" fillId="0" borderId="24" xfId="5" applyNumberFormat="1" applyFont="1" applyBorder="1" applyAlignment="1">
      <alignment horizontal="center" vertical="center" wrapText="1"/>
    </xf>
    <xf numFmtId="168" fontId="0" fillId="0" borderId="0" xfId="5" applyNumberFormat="1" applyFont="1" applyAlignment="1">
      <alignment horizontal="center" vertical="center" wrapText="1"/>
    </xf>
    <xf numFmtId="168" fontId="0" fillId="0" borderId="6" xfId="5" applyNumberFormat="1" applyFont="1" applyBorder="1" applyAlignment="1">
      <alignment horizontal="center" vertical="center" wrapText="1"/>
    </xf>
    <xf numFmtId="168" fontId="14" fillId="5" borderId="41" xfId="5" applyNumberFormat="1" applyFont="1" applyFill="1" applyBorder="1" applyAlignment="1">
      <alignment horizontal="center" vertical="center" wrapText="1"/>
    </xf>
    <xf numFmtId="168" fontId="14" fillId="5" borderId="17" xfId="5" applyNumberFormat="1" applyFont="1" applyFill="1" applyBorder="1" applyAlignment="1">
      <alignment horizontal="center" vertical="center" wrapText="1"/>
    </xf>
    <xf numFmtId="168" fontId="56" fillId="20" borderId="17" xfId="5" applyNumberFormat="1" applyFont="1" applyFill="1" applyBorder="1" applyAlignment="1">
      <alignment horizontal="center" vertical="center" wrapText="1"/>
    </xf>
    <xf numFmtId="168" fontId="14" fillId="5" borderId="127" xfId="5" applyNumberFormat="1" applyFont="1" applyFill="1" applyBorder="1" applyAlignment="1">
      <alignment horizontal="center" vertical="center" wrapText="1"/>
    </xf>
    <xf numFmtId="168" fontId="56" fillId="20" borderId="98" xfId="5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top" wrapText="1"/>
    </xf>
    <xf numFmtId="168" fontId="0" fillId="0" borderId="15" xfId="5" applyNumberFormat="1" applyFont="1" applyBorder="1" applyAlignment="1">
      <alignment horizontal="center" vertical="center" wrapText="1"/>
    </xf>
    <xf numFmtId="168" fontId="0" fillId="0" borderId="26" xfId="5" applyNumberFormat="1" applyFont="1" applyBorder="1" applyAlignment="1">
      <alignment horizontal="center" vertical="center" wrapText="1"/>
    </xf>
    <xf numFmtId="168" fontId="0" fillId="0" borderId="5" xfId="5" applyNumberFormat="1" applyFont="1" applyBorder="1" applyAlignment="1">
      <alignment horizontal="center" vertical="center" wrapText="1"/>
    </xf>
    <xf numFmtId="168" fontId="14" fillId="5" borderId="85" xfId="5" applyNumberFormat="1" applyFont="1" applyFill="1" applyBorder="1" applyAlignment="1">
      <alignment horizontal="center" vertical="center" wrapText="1"/>
    </xf>
    <xf numFmtId="168" fontId="14" fillId="5" borderId="56" xfId="5" applyNumberFormat="1" applyFont="1" applyFill="1" applyBorder="1" applyAlignment="1">
      <alignment horizontal="center" vertical="center" wrapText="1"/>
    </xf>
    <xf numFmtId="168" fontId="56" fillId="20" borderId="56" xfId="5" applyNumberFormat="1" applyFont="1" applyFill="1" applyBorder="1" applyAlignment="1">
      <alignment horizontal="center" vertical="center" wrapText="1"/>
    </xf>
    <xf numFmtId="168" fontId="14" fillId="5" borderId="128" xfId="5" applyNumberFormat="1" applyFont="1" applyFill="1" applyBorder="1" applyAlignment="1">
      <alignment horizontal="center" vertical="center" wrapText="1"/>
    </xf>
    <xf numFmtId="168" fontId="56" fillId="20" borderId="99" xfId="5" applyNumberFormat="1" applyFont="1" applyFill="1" applyBorder="1" applyAlignment="1">
      <alignment horizontal="center" vertical="center" wrapText="1"/>
    </xf>
    <xf numFmtId="169" fontId="0" fillId="0" borderId="14" xfId="0" applyNumberFormat="1" applyBorder="1" applyAlignment="1">
      <alignment horizontal="center" vertical="center" wrapText="1"/>
    </xf>
    <xf numFmtId="169" fontId="0" fillId="0" borderId="23" xfId="0" applyNumberFormat="1" applyBorder="1" applyAlignment="1">
      <alignment horizontal="center" vertical="center" wrapText="1"/>
    </xf>
    <xf numFmtId="169" fontId="0" fillId="0" borderId="13" xfId="0" applyNumberFormat="1" applyBorder="1" applyAlignment="1">
      <alignment horizontal="center" vertical="center" wrapText="1"/>
    </xf>
    <xf numFmtId="169" fontId="14" fillId="5" borderId="84" xfId="3" applyNumberFormat="1" applyFont="1" applyBorder="1" applyAlignment="1">
      <alignment horizontal="center" vertical="center" wrapText="1"/>
    </xf>
    <xf numFmtId="169" fontId="14" fillId="5" borderId="53" xfId="3" applyNumberFormat="1" applyFont="1" applyBorder="1" applyAlignment="1">
      <alignment horizontal="center" vertical="center" wrapText="1"/>
    </xf>
    <xf numFmtId="169" fontId="56" fillId="20" borderId="53" xfId="3" applyNumberFormat="1" applyFont="1" applyFill="1" applyBorder="1" applyAlignment="1">
      <alignment horizontal="center" vertical="center" wrapText="1"/>
    </xf>
    <xf numFmtId="169" fontId="14" fillId="5" borderId="129" xfId="3" applyNumberFormat="1" applyFont="1" applyBorder="1" applyAlignment="1">
      <alignment horizontal="center" vertical="center" wrapText="1"/>
    </xf>
    <xf numFmtId="169" fontId="56" fillId="20" borderId="97" xfId="3" applyNumberFormat="1" applyFont="1" applyFill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 vertical="center" wrapText="1"/>
    </xf>
    <xf numFmtId="169" fontId="0" fillId="0" borderId="0" xfId="0" applyNumberFormat="1" applyAlignment="1">
      <alignment horizontal="center" vertical="center" wrapText="1"/>
    </xf>
    <xf numFmtId="169" fontId="0" fillId="0" borderId="6" xfId="0" applyNumberFormat="1" applyBorder="1" applyAlignment="1">
      <alignment horizontal="center" vertical="center" wrapText="1"/>
    </xf>
    <xf numFmtId="169" fontId="14" fillId="5" borderId="41" xfId="3" applyNumberFormat="1" applyFont="1" applyBorder="1" applyAlignment="1">
      <alignment horizontal="center" vertical="center" wrapText="1"/>
    </xf>
    <xf numFmtId="169" fontId="14" fillId="5" borderId="17" xfId="3" applyNumberFormat="1" applyFont="1" applyAlignment="1">
      <alignment horizontal="center" vertical="center" wrapText="1"/>
    </xf>
    <xf numFmtId="169" fontId="56" fillId="20" borderId="17" xfId="3" applyNumberFormat="1" applyFont="1" applyFill="1" applyAlignment="1">
      <alignment horizontal="center" vertical="center" wrapText="1"/>
    </xf>
    <xf numFmtId="169" fontId="14" fillId="5" borderId="127" xfId="3" applyNumberFormat="1" applyFont="1" applyBorder="1" applyAlignment="1">
      <alignment horizontal="center" vertical="center" wrapText="1"/>
    </xf>
    <xf numFmtId="169" fontId="56" fillId="20" borderId="98" xfId="3" applyNumberFormat="1" applyFont="1" applyFill="1" applyBorder="1" applyAlignment="1">
      <alignment horizontal="center" vertical="center" wrapText="1"/>
    </xf>
    <xf numFmtId="169" fontId="0" fillId="0" borderId="15" xfId="0" applyNumberFormat="1" applyBorder="1" applyAlignment="1">
      <alignment horizontal="center" vertical="center" wrapText="1"/>
    </xf>
    <xf numFmtId="169" fontId="0" fillId="0" borderId="26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14" fillId="5" borderId="85" xfId="3" applyNumberFormat="1" applyFont="1" applyBorder="1" applyAlignment="1">
      <alignment horizontal="center" vertical="center" wrapText="1"/>
    </xf>
    <xf numFmtId="169" fontId="14" fillId="5" borderId="56" xfId="3" applyNumberFormat="1" applyFont="1" applyBorder="1" applyAlignment="1">
      <alignment horizontal="center" vertical="center" wrapText="1"/>
    </xf>
    <xf numFmtId="169" fontId="56" fillId="20" borderId="56" xfId="3" applyNumberFormat="1" applyFont="1" applyFill="1" applyBorder="1" applyAlignment="1">
      <alignment horizontal="center" vertical="center" wrapText="1"/>
    </xf>
    <xf numFmtId="169" fontId="14" fillId="5" borderId="128" xfId="3" applyNumberFormat="1" applyFont="1" applyBorder="1" applyAlignment="1">
      <alignment horizontal="center" vertical="center" wrapText="1"/>
    </xf>
    <xf numFmtId="169" fontId="56" fillId="20" borderId="99" xfId="3" applyNumberFormat="1" applyFont="1" applyFill="1" applyBorder="1" applyAlignment="1">
      <alignment horizontal="center" vertical="center" wrapText="1"/>
    </xf>
    <xf numFmtId="9" fontId="33" fillId="0" borderId="18" xfId="0" applyNumberFormat="1" applyFont="1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33" fillId="0" borderId="21" xfId="0" applyFont="1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8" fillId="16" borderId="28" xfId="0" applyFont="1" applyFill="1" applyBorder="1" applyAlignment="1">
      <alignment horizontal="left" vertical="top" wrapText="1"/>
    </xf>
    <xf numFmtId="0" fontId="0" fillId="16" borderId="29" xfId="0" applyFill="1" applyBorder="1" applyAlignment="1">
      <alignment horizontal="left" vertical="top" wrapText="1"/>
    </xf>
    <xf numFmtId="0" fontId="0" fillId="16" borderId="30" xfId="0" applyFill="1" applyBorder="1" applyAlignment="1">
      <alignment horizontal="left" vertical="top" wrapText="1"/>
    </xf>
    <xf numFmtId="0" fontId="54" fillId="16" borderId="29" xfId="0" applyFont="1" applyFill="1" applyBorder="1" applyAlignment="1">
      <alignment horizontal="left" vertical="top" wrapText="1"/>
    </xf>
    <xf numFmtId="0" fontId="14" fillId="16" borderId="139" xfId="3" applyFont="1" applyFill="1" applyBorder="1" applyAlignment="1">
      <alignment horizontal="right" vertical="top" wrapText="1"/>
    </xf>
    <xf numFmtId="0" fontId="56" fillId="16" borderId="139" xfId="3" applyFont="1" applyFill="1" applyBorder="1" applyAlignment="1">
      <alignment horizontal="right" vertical="top" wrapText="1"/>
    </xf>
    <xf numFmtId="0" fontId="14" fillId="16" borderId="140" xfId="3" applyFont="1" applyFill="1" applyBorder="1" applyAlignment="1">
      <alignment horizontal="right" vertical="top" wrapText="1"/>
    </xf>
    <xf numFmtId="0" fontId="56" fillId="16" borderId="30" xfId="3" applyFont="1" applyFill="1" applyBorder="1" applyAlignment="1">
      <alignment horizontal="right" vertical="top" wrapText="1"/>
    </xf>
    <xf numFmtId="0" fontId="0" fillId="7" borderId="6" xfId="0" applyFill="1" applyBorder="1" applyAlignment="1">
      <alignment horizontal="left" vertical="top" wrapText="1"/>
    </xf>
    <xf numFmtId="168" fontId="57" fillId="20" borderId="24" xfId="5" applyNumberFormat="1" applyFont="1" applyFill="1" applyBorder="1" applyAlignment="1">
      <alignment horizontal="center" vertical="center" wrapText="1"/>
    </xf>
    <xf numFmtId="168" fontId="57" fillId="20" borderId="0" xfId="5" applyNumberFormat="1" applyFont="1" applyFill="1" applyAlignment="1">
      <alignment horizontal="center" vertical="center" wrapText="1"/>
    </xf>
    <xf numFmtId="168" fontId="57" fillId="20" borderId="6" xfId="5" applyNumberFormat="1" applyFont="1" applyFill="1" applyBorder="1" applyAlignment="1">
      <alignment horizontal="center" vertical="center" wrapText="1"/>
    </xf>
    <xf numFmtId="168" fontId="56" fillId="23" borderId="135" xfId="5" applyNumberFormat="1" applyFont="1" applyFill="1" applyBorder="1" applyAlignment="1">
      <alignment horizontal="center" vertical="center" wrapText="1"/>
    </xf>
    <xf numFmtId="168" fontId="56" fillId="23" borderId="136" xfId="5" applyNumberFormat="1" applyFont="1" applyFill="1" applyBorder="1" applyAlignment="1">
      <alignment horizontal="center" vertical="center" wrapText="1"/>
    </xf>
    <xf numFmtId="168" fontId="56" fillId="20" borderId="136" xfId="5" applyNumberFormat="1" applyFont="1" applyFill="1" applyBorder="1" applyAlignment="1">
      <alignment horizontal="center" vertical="center" wrapText="1"/>
    </xf>
    <xf numFmtId="168" fontId="56" fillId="23" borderId="137" xfId="5" applyNumberFormat="1" applyFont="1" applyFill="1" applyBorder="1" applyAlignment="1">
      <alignment horizontal="center" vertical="center" wrapText="1"/>
    </xf>
    <xf numFmtId="168" fontId="56" fillId="20" borderId="138" xfId="5" applyNumberFormat="1" applyFont="1" applyFill="1" applyBorder="1" applyAlignment="1">
      <alignment horizontal="center" vertical="center" wrapText="1"/>
    </xf>
    <xf numFmtId="9" fontId="33" fillId="0" borderId="24" xfId="0" applyNumberFormat="1" applyFont="1" applyBorder="1" applyAlignment="1">
      <alignment horizontal="left" vertical="top" wrapText="1"/>
    </xf>
    <xf numFmtId="168" fontId="56" fillId="23" borderId="41" xfId="5" applyNumberFormat="1" applyFont="1" applyFill="1" applyBorder="1" applyAlignment="1">
      <alignment horizontal="center" vertical="center" wrapText="1"/>
    </xf>
    <xf numFmtId="168" fontId="56" fillId="23" borderId="17" xfId="5" applyNumberFormat="1" applyFont="1" applyFill="1" applyBorder="1" applyAlignment="1">
      <alignment horizontal="center" vertical="center" wrapText="1"/>
    </xf>
    <xf numFmtId="168" fontId="56" fillId="23" borderId="127" xfId="5" applyNumberFormat="1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left" vertical="top" wrapText="1"/>
    </xf>
    <xf numFmtId="168" fontId="57" fillId="20" borderId="15" xfId="5" applyNumberFormat="1" applyFont="1" applyFill="1" applyBorder="1" applyAlignment="1">
      <alignment horizontal="center" vertical="center" wrapText="1"/>
    </xf>
    <xf numFmtId="168" fontId="57" fillId="20" borderId="26" xfId="5" applyNumberFormat="1" applyFont="1" applyFill="1" applyBorder="1" applyAlignment="1">
      <alignment horizontal="center" vertical="center" wrapText="1"/>
    </xf>
    <xf numFmtId="168" fontId="57" fillId="20" borderId="5" xfId="5" applyNumberFormat="1" applyFont="1" applyFill="1" applyBorder="1" applyAlignment="1">
      <alignment horizontal="center" vertical="center" wrapText="1"/>
    </xf>
    <xf numFmtId="168" fontId="56" fillId="23" borderId="85" xfId="5" applyNumberFormat="1" applyFont="1" applyFill="1" applyBorder="1" applyAlignment="1">
      <alignment horizontal="center" vertical="center" wrapText="1"/>
    </xf>
    <xf numFmtId="168" fontId="56" fillId="23" borderId="56" xfId="5" applyNumberFormat="1" applyFont="1" applyFill="1" applyBorder="1" applyAlignment="1">
      <alignment horizontal="center" vertical="center" wrapText="1"/>
    </xf>
    <xf numFmtId="168" fontId="56" fillId="23" borderId="128" xfId="5" applyNumberFormat="1" applyFont="1" applyFill="1" applyBorder="1" applyAlignment="1">
      <alignment horizontal="center" vertical="center" wrapText="1"/>
    </xf>
    <xf numFmtId="168" fontId="56" fillId="23" borderId="84" xfId="5" applyNumberFormat="1" applyFont="1" applyFill="1" applyBorder="1" applyAlignment="1">
      <alignment horizontal="center" vertical="center" wrapText="1"/>
    </xf>
    <xf numFmtId="168" fontId="56" fillId="23" borderId="53" xfId="5" applyNumberFormat="1" applyFont="1" applyFill="1" applyBorder="1" applyAlignment="1">
      <alignment horizontal="center" vertical="center" wrapText="1"/>
    </xf>
    <xf numFmtId="168" fontId="56" fillId="23" borderId="129" xfId="5" applyNumberFormat="1" applyFont="1" applyFill="1" applyBorder="1" applyAlignment="1">
      <alignment horizontal="center" vertical="center" wrapText="1"/>
    </xf>
    <xf numFmtId="168" fontId="56" fillId="20" borderId="97" xfId="5" applyNumberFormat="1" applyFont="1" applyFill="1" applyBorder="1" applyAlignment="1">
      <alignment horizontal="center" vertical="center" wrapText="1"/>
    </xf>
    <xf numFmtId="169" fontId="57" fillId="20" borderId="24" xfId="5" applyNumberFormat="1" applyFont="1" applyFill="1" applyBorder="1" applyAlignment="1">
      <alignment horizontal="center" vertical="center" wrapText="1"/>
    </xf>
    <xf numFmtId="169" fontId="57" fillId="20" borderId="0" xfId="5" applyNumberFormat="1" applyFont="1" applyFill="1" applyAlignment="1">
      <alignment horizontal="center" vertical="center" wrapText="1"/>
    </xf>
    <xf numFmtId="169" fontId="57" fillId="20" borderId="6" xfId="5" applyNumberFormat="1" applyFont="1" applyFill="1" applyBorder="1" applyAlignment="1">
      <alignment horizontal="center" vertical="center" wrapText="1"/>
    </xf>
    <xf numFmtId="169" fontId="56" fillId="23" borderId="84" xfId="5" applyNumberFormat="1" applyFont="1" applyFill="1" applyBorder="1" applyAlignment="1">
      <alignment horizontal="center" vertical="center" wrapText="1"/>
    </xf>
    <xf numFmtId="169" fontId="56" fillId="23" borderId="53" xfId="5" applyNumberFormat="1" applyFont="1" applyFill="1" applyBorder="1" applyAlignment="1">
      <alignment horizontal="center" vertical="center" wrapText="1"/>
    </xf>
    <xf numFmtId="169" fontId="56" fillId="20" borderId="53" xfId="5" applyNumberFormat="1" applyFont="1" applyFill="1" applyBorder="1" applyAlignment="1">
      <alignment horizontal="center" vertical="center" wrapText="1"/>
    </xf>
    <xf numFmtId="169" fontId="56" fillId="23" borderId="129" xfId="5" applyNumberFormat="1" applyFont="1" applyFill="1" applyBorder="1" applyAlignment="1">
      <alignment horizontal="center" vertical="center" wrapText="1"/>
    </xf>
    <xf numFmtId="169" fontId="56" fillId="20" borderId="97" xfId="5" applyNumberFormat="1" applyFont="1" applyFill="1" applyBorder="1" applyAlignment="1">
      <alignment horizontal="center" vertical="center" wrapText="1"/>
    </xf>
    <xf numFmtId="169" fontId="56" fillId="23" borderId="41" xfId="5" applyNumberFormat="1" applyFont="1" applyFill="1" applyBorder="1" applyAlignment="1">
      <alignment horizontal="center" vertical="center" wrapText="1"/>
    </xf>
    <xf numFmtId="169" fontId="56" fillId="23" borderId="17" xfId="5" applyNumberFormat="1" applyFont="1" applyFill="1" applyBorder="1" applyAlignment="1">
      <alignment horizontal="center" vertical="center" wrapText="1"/>
    </xf>
    <xf numFmtId="169" fontId="56" fillId="20" borderId="17" xfId="5" applyNumberFormat="1" applyFont="1" applyFill="1" applyBorder="1" applyAlignment="1">
      <alignment horizontal="center" vertical="center" wrapText="1"/>
    </xf>
    <xf numFmtId="169" fontId="56" fillId="23" borderId="127" xfId="5" applyNumberFormat="1" applyFont="1" applyFill="1" applyBorder="1" applyAlignment="1">
      <alignment horizontal="center" vertical="center" wrapText="1"/>
    </xf>
    <xf numFmtId="169" fontId="56" fillId="20" borderId="98" xfId="5" applyNumberFormat="1" applyFont="1" applyFill="1" applyBorder="1" applyAlignment="1">
      <alignment horizontal="center" vertical="center" wrapText="1"/>
    </xf>
    <xf numFmtId="169" fontId="57" fillId="20" borderId="15" xfId="5" applyNumberFormat="1" applyFont="1" applyFill="1" applyBorder="1" applyAlignment="1">
      <alignment horizontal="center" vertical="center" wrapText="1"/>
    </xf>
    <xf numFmtId="169" fontId="57" fillId="20" borderId="26" xfId="5" applyNumberFormat="1" applyFont="1" applyFill="1" applyBorder="1" applyAlignment="1">
      <alignment horizontal="center" vertical="center" wrapText="1"/>
    </xf>
    <xf numFmtId="169" fontId="57" fillId="20" borderId="5" xfId="5" applyNumberFormat="1" applyFont="1" applyFill="1" applyBorder="1" applyAlignment="1">
      <alignment horizontal="center" vertical="center" wrapText="1"/>
    </xf>
    <xf numFmtId="169" fontId="56" fillId="23" borderId="85" xfId="5" applyNumberFormat="1" applyFont="1" applyFill="1" applyBorder="1" applyAlignment="1">
      <alignment horizontal="center" vertical="center" wrapText="1"/>
    </xf>
    <xf numFmtId="169" fontId="56" fillId="23" borderId="56" xfId="5" applyNumberFormat="1" applyFont="1" applyFill="1" applyBorder="1" applyAlignment="1">
      <alignment horizontal="center" vertical="center" wrapText="1"/>
    </xf>
    <xf numFmtId="169" fontId="56" fillId="20" borderId="56" xfId="5" applyNumberFormat="1" applyFont="1" applyFill="1" applyBorder="1" applyAlignment="1">
      <alignment horizontal="center" vertical="center" wrapText="1"/>
    </xf>
    <xf numFmtId="169" fontId="56" fillId="23" borderId="128" xfId="5" applyNumberFormat="1" applyFont="1" applyFill="1" applyBorder="1" applyAlignment="1">
      <alignment horizontal="center" vertical="center" wrapText="1"/>
    </xf>
    <xf numFmtId="169" fontId="56" fillId="20" borderId="99" xfId="5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6" xfId="0" applyBorder="1" applyAlignment="1">
      <alignment horizontal="left"/>
    </xf>
    <xf numFmtId="3" fontId="7" fillId="4" borderId="80" xfId="2" applyNumberFormat="1" applyBorder="1" applyAlignment="1">
      <alignment horizontal="right"/>
    </xf>
    <xf numFmtId="0" fontId="35" fillId="0" borderId="157" xfId="0" applyFont="1" applyBorder="1" applyAlignment="1">
      <alignment horizontal="center" vertical="center"/>
    </xf>
    <xf numFmtId="3" fontId="7" fillId="4" borderId="93" xfId="2" applyNumberFormat="1" applyBorder="1" applyProtection="1">
      <protection locked="0"/>
    </xf>
    <xf numFmtId="3" fontId="7" fillId="4" borderId="36" xfId="2" applyNumberFormat="1" applyBorder="1" applyProtection="1">
      <protection locked="0"/>
    </xf>
    <xf numFmtId="3" fontId="7" fillId="4" borderId="78" xfId="2" applyNumberFormat="1" applyBorder="1" applyProtection="1">
      <protection locked="0"/>
    </xf>
    <xf numFmtId="0" fontId="5" fillId="26" borderId="5" xfId="0" applyFont="1" applyFill="1" applyBorder="1" applyAlignment="1">
      <alignment horizontal="justify" vertical="top" wrapText="1"/>
    </xf>
    <xf numFmtId="0" fontId="5" fillId="26" borderId="5" xfId="0" applyFont="1" applyFill="1" applyBorder="1" applyAlignment="1">
      <alignment horizontal="center" vertical="top" wrapText="1"/>
    </xf>
    <xf numFmtId="0" fontId="5" fillId="26" borderId="6" xfId="0" applyFont="1" applyFill="1" applyBorder="1" applyAlignment="1">
      <alignment horizontal="justify" vertical="top" wrapText="1"/>
    </xf>
    <xf numFmtId="0" fontId="5" fillId="26" borderId="24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justify" vertical="top" wrapText="1"/>
    </xf>
    <xf numFmtId="0" fontId="5" fillId="26" borderId="6" xfId="0" applyFont="1" applyFill="1" applyBorder="1" applyAlignment="1">
      <alignment horizontal="center" vertical="top" wrapText="1"/>
    </xf>
    <xf numFmtId="0" fontId="5" fillId="26" borderId="69" xfId="0" applyFont="1" applyFill="1" applyBorder="1" applyAlignment="1">
      <alignment horizontal="left" vertical="top" wrapText="1"/>
    </xf>
    <xf numFmtId="0" fontId="5" fillId="26" borderId="69" xfId="0" applyFont="1" applyFill="1" applyBorder="1" applyAlignment="1">
      <alignment horizontal="center" vertical="top" wrapText="1"/>
    </xf>
    <xf numFmtId="2" fontId="3" fillId="17" borderId="6" xfId="1" applyNumberFormat="1" applyFont="1" applyFill="1" applyBorder="1" applyAlignment="1">
      <alignment vertical="top" wrapText="1"/>
    </xf>
    <xf numFmtId="2" fontId="3" fillId="17" borderId="69" xfId="1" applyNumberFormat="1" applyFont="1" applyFill="1" applyBorder="1" applyAlignment="1">
      <alignment vertical="top" wrapText="1"/>
    </xf>
    <xf numFmtId="0" fontId="26" fillId="0" borderId="0" xfId="0" applyFont="1" applyAlignment="1">
      <alignment vertical="center"/>
    </xf>
    <xf numFmtId="166" fontId="8" fillId="19" borderId="145" xfId="5" applyNumberFormat="1" applyFont="1" applyFill="1" applyBorder="1"/>
    <xf numFmtId="0" fontId="55" fillId="0" borderId="0" xfId="0" applyFont="1"/>
    <xf numFmtId="0" fontId="0" fillId="0" borderId="125" xfId="0" applyBorder="1"/>
    <xf numFmtId="0" fontId="0" fillId="0" borderId="34" xfId="0" applyBorder="1"/>
    <xf numFmtId="164" fontId="39" fillId="17" borderId="158" xfId="7" applyFont="1" applyFill="1" applyBorder="1" applyAlignment="1">
      <alignment horizontal="left" vertical="center"/>
    </xf>
    <xf numFmtId="0" fontId="39" fillId="17" borderId="159" xfId="0" applyFont="1" applyFill="1" applyBorder="1" applyAlignment="1">
      <alignment horizontal="left" vertical="center"/>
    </xf>
    <xf numFmtId="164" fontId="39" fillId="17" borderId="161" xfId="7" applyFont="1" applyFill="1" applyBorder="1" applyAlignment="1">
      <alignment horizontal="left" vertical="center"/>
    </xf>
    <xf numFmtId="0" fontId="39" fillId="17" borderId="159" xfId="0" applyFont="1" applyFill="1" applyBorder="1" applyAlignment="1">
      <alignment horizontal="center" vertical="center"/>
    </xf>
    <xf numFmtId="0" fontId="39" fillId="17" borderId="133" xfId="0" applyFont="1" applyFill="1" applyBorder="1" applyAlignment="1">
      <alignment horizontal="center" vertical="center"/>
    </xf>
    <xf numFmtId="164" fontId="39" fillId="17" borderId="159" xfId="7" applyFont="1" applyFill="1" applyBorder="1" applyAlignment="1">
      <alignment horizontal="center" vertical="center"/>
    </xf>
    <xf numFmtId="164" fontId="39" fillId="17" borderId="133" xfId="7" applyFont="1" applyFill="1" applyBorder="1" applyAlignment="1">
      <alignment horizontal="center" vertical="center"/>
    </xf>
    <xf numFmtId="166" fontId="61" fillId="19" borderId="22" xfId="5" applyNumberFormat="1" applyFont="1" applyFill="1" applyBorder="1"/>
    <xf numFmtId="166" fontId="61" fillId="19" borderId="125" xfId="5" applyNumberFormat="1" applyFont="1" applyFill="1" applyBorder="1"/>
    <xf numFmtId="166" fontId="61" fillId="19" borderId="145" xfId="5" applyNumberFormat="1" applyFont="1" applyFill="1" applyBorder="1"/>
    <xf numFmtId="166" fontId="57" fillId="22" borderId="22" xfId="5" applyNumberFormat="1" applyFont="1" applyFill="1" applyBorder="1"/>
    <xf numFmtId="166" fontId="57" fillId="22" borderId="125" xfId="5" applyNumberFormat="1" applyFont="1" applyFill="1" applyBorder="1"/>
    <xf numFmtId="166" fontId="57" fillId="22" borderId="145" xfId="5" applyNumberFormat="1" applyFont="1" applyFill="1" applyBorder="1"/>
    <xf numFmtId="166" fontId="62" fillId="21" borderId="22" xfId="5" applyNumberFormat="1" applyFont="1" applyFill="1" applyBorder="1"/>
    <xf numFmtId="166" fontId="62" fillId="21" borderId="125" xfId="5" applyNumberFormat="1" applyFont="1" applyFill="1" applyBorder="1"/>
    <xf numFmtId="166" fontId="62" fillId="21" borderId="145" xfId="5" applyNumberFormat="1" applyFont="1" applyFill="1" applyBorder="1"/>
    <xf numFmtId="166" fontId="62" fillId="21" borderId="22" xfId="5" applyNumberFormat="1" applyFont="1" applyFill="1" applyBorder="1" applyAlignment="1">
      <alignment horizontal="center"/>
    </xf>
    <xf numFmtId="166" fontId="62" fillId="21" borderId="125" xfId="5" applyNumberFormat="1" applyFont="1" applyFill="1" applyBorder="1" applyAlignment="1">
      <alignment horizontal="center"/>
    </xf>
    <xf numFmtId="166" fontId="62" fillId="21" borderId="145" xfId="5" applyNumberFormat="1" applyFont="1" applyFill="1" applyBorder="1" applyAlignment="1">
      <alignment horizontal="center"/>
    </xf>
    <xf numFmtId="166" fontId="62" fillId="21" borderId="86" xfId="5" applyNumberFormat="1" applyFont="1" applyFill="1" applyBorder="1"/>
    <xf numFmtId="166" fontId="62" fillId="21" borderId="122" xfId="5" applyNumberFormat="1" applyFont="1" applyFill="1" applyBorder="1"/>
    <xf numFmtId="166" fontId="62" fillId="21" borderId="153" xfId="5" applyNumberFormat="1" applyFont="1" applyFill="1" applyBorder="1"/>
    <xf numFmtId="166" fontId="62" fillId="21" borderId="146" xfId="5" applyNumberFormat="1" applyFont="1" applyFill="1" applyBorder="1"/>
    <xf numFmtId="0" fontId="66" fillId="13" borderId="6" xfId="0" applyFont="1" applyFill="1" applyBorder="1" applyAlignment="1">
      <alignment horizontal="center" vertical="center"/>
    </xf>
    <xf numFmtId="3" fontId="67" fillId="14" borderId="28" xfId="0" applyNumberFormat="1" applyFont="1" applyFill="1" applyBorder="1" applyAlignment="1">
      <alignment horizontal="center" vertical="center"/>
    </xf>
    <xf numFmtId="3" fontId="67" fillId="14" borderId="30" xfId="0" applyNumberFormat="1" applyFont="1" applyFill="1" applyBorder="1" applyAlignment="1">
      <alignment horizontal="center" vertical="center"/>
    </xf>
    <xf numFmtId="0" fontId="35" fillId="17" borderId="24" xfId="0" applyFont="1" applyFill="1" applyBorder="1" applyAlignment="1">
      <alignment horizontal="center" vertical="center"/>
    </xf>
    <xf numFmtId="0" fontId="35" fillId="17" borderId="131" xfId="0" applyFont="1" applyFill="1" applyBorder="1" applyAlignment="1">
      <alignment horizontal="center" vertical="center"/>
    </xf>
    <xf numFmtId="0" fontId="35" fillId="17" borderId="91" xfId="3" applyFont="1" applyFill="1" applyBorder="1" applyAlignment="1">
      <alignment horizontal="center"/>
    </xf>
    <xf numFmtId="0" fontId="35" fillId="17" borderId="134" xfId="3" applyFont="1" applyFill="1" applyBorder="1" applyAlignment="1">
      <alignment horizontal="center"/>
    </xf>
    <xf numFmtId="0" fontId="63" fillId="22" borderId="65" xfId="0" applyFont="1" applyFill="1" applyBorder="1" applyAlignment="1">
      <alignment horizontal="center" vertical="center"/>
    </xf>
    <xf numFmtId="0" fontId="63" fillId="22" borderId="64" xfId="0" applyFont="1" applyFill="1" applyBorder="1" applyAlignment="1">
      <alignment horizontal="center" vertical="center"/>
    </xf>
    <xf numFmtId="0" fontId="57" fillId="22" borderId="119" xfId="0" applyFont="1" applyFill="1" applyBorder="1"/>
    <xf numFmtId="0" fontId="57" fillId="22" borderId="60" xfId="0" applyFont="1" applyFill="1" applyBorder="1"/>
    <xf numFmtId="0" fontId="57" fillId="22" borderId="22" xfId="0" applyFont="1" applyFill="1" applyBorder="1"/>
    <xf numFmtId="0" fontId="57" fillId="22" borderId="113" xfId="0" applyFont="1" applyFill="1" applyBorder="1"/>
    <xf numFmtId="0" fontId="57" fillId="22" borderId="86" xfId="0" applyFont="1" applyFill="1" applyBorder="1"/>
    <xf numFmtId="0" fontId="57" fillId="22" borderId="116" xfId="0" applyFont="1" applyFill="1" applyBorder="1"/>
    <xf numFmtId="0" fontId="57" fillId="22" borderId="115" xfId="0" applyFont="1" applyFill="1" applyBorder="1"/>
    <xf numFmtId="4" fontId="65" fillId="24" borderId="51" xfId="2" applyNumberFormat="1" applyFont="1" applyFill="1" applyBorder="1" applyAlignment="1">
      <alignment horizontal="right" vertical="top" wrapText="1"/>
    </xf>
    <xf numFmtId="4" fontId="65" fillId="24" borderId="42" xfId="2" applyNumberFormat="1" applyFont="1" applyFill="1" applyBorder="1" applyAlignment="1">
      <alignment horizontal="right" vertical="top" wrapText="1"/>
    </xf>
    <xf numFmtId="4" fontId="65" fillId="24" borderId="52" xfId="2" applyNumberFormat="1" applyFont="1" applyFill="1" applyBorder="1" applyAlignment="1">
      <alignment horizontal="right" vertical="top" wrapText="1"/>
    </xf>
    <xf numFmtId="4" fontId="65" fillId="24" borderId="106" xfId="2" applyNumberFormat="1" applyFont="1" applyFill="1" applyBorder="1" applyAlignment="1">
      <alignment horizontal="right" vertical="top" wrapText="1"/>
    </xf>
    <xf numFmtId="4" fontId="65" fillId="24" borderId="95" xfId="2" applyNumberFormat="1" applyFont="1" applyFill="1" applyBorder="1" applyAlignment="1">
      <alignment horizontal="right" vertical="top" wrapText="1"/>
    </xf>
    <xf numFmtId="4" fontId="65" fillId="24" borderId="109" xfId="2" applyNumberFormat="1" applyFont="1" applyFill="1" applyBorder="1" applyAlignment="1">
      <alignment horizontal="right" vertical="top" wrapText="1"/>
    </xf>
    <xf numFmtId="4" fontId="65" fillId="24" borderId="107" xfId="2" applyNumberFormat="1" applyFont="1" applyFill="1" applyBorder="1" applyAlignment="1">
      <alignment horizontal="right" vertical="top" wrapText="1"/>
    </xf>
    <xf numFmtId="4" fontId="65" fillId="24" borderId="46" xfId="2" applyNumberFormat="1" applyFont="1" applyFill="1" applyBorder="1" applyAlignment="1">
      <alignment horizontal="right" vertical="top" wrapText="1"/>
    </xf>
    <xf numFmtId="4" fontId="65" fillId="24" borderId="45" xfId="2" applyNumberFormat="1" applyFont="1" applyFill="1" applyBorder="1" applyAlignment="1">
      <alignment horizontal="right" vertical="top" wrapText="1"/>
    </xf>
    <xf numFmtId="4" fontId="64" fillId="24" borderId="26" xfId="1" applyNumberFormat="1" applyFont="1" applyFill="1" applyBorder="1" applyAlignment="1">
      <alignment horizontal="right" vertical="top" wrapText="1"/>
    </xf>
    <xf numFmtId="4" fontId="65" fillId="24" borderId="44" xfId="2" applyNumberFormat="1" applyFont="1" applyFill="1" applyBorder="1" applyAlignment="1">
      <alignment horizontal="right" vertical="top" wrapText="1"/>
    </xf>
    <xf numFmtId="4" fontId="65" fillId="24" borderId="108" xfId="2" applyNumberFormat="1" applyFont="1" applyFill="1" applyBorder="1" applyAlignment="1">
      <alignment horizontal="right" vertical="top" wrapText="1"/>
    </xf>
    <xf numFmtId="4" fontId="65" fillId="24" borderId="43" xfId="2" applyNumberFormat="1" applyFont="1" applyFill="1" applyBorder="1" applyAlignment="1">
      <alignment horizontal="right" vertical="top" wrapText="1"/>
    </xf>
    <xf numFmtId="0" fontId="65" fillId="24" borderId="70" xfId="0" applyFont="1" applyFill="1" applyBorder="1" applyAlignment="1">
      <alignment horizontal="left" vertical="top" wrapText="1"/>
    </xf>
    <xf numFmtId="166" fontId="65" fillId="24" borderId="110" xfId="5" applyNumberFormat="1" applyFont="1" applyFill="1" applyBorder="1" applyAlignment="1">
      <alignment horizontal="right" vertical="top" wrapText="1"/>
    </xf>
    <xf numFmtId="166" fontId="65" fillId="24" borderId="111" xfId="5" applyNumberFormat="1" applyFont="1" applyFill="1" applyBorder="1" applyAlignment="1">
      <alignment horizontal="right" vertical="top" wrapText="1"/>
    </xf>
    <xf numFmtId="166" fontId="65" fillId="24" borderId="112" xfId="5" applyNumberFormat="1" applyFont="1" applyFill="1" applyBorder="1" applyAlignment="1">
      <alignment horizontal="right" vertical="top" wrapText="1"/>
    </xf>
    <xf numFmtId="166" fontId="65" fillId="24" borderId="47" xfId="5" applyNumberFormat="1" applyFont="1" applyFill="1" applyBorder="1" applyAlignment="1">
      <alignment horizontal="right" vertical="top" wrapText="1"/>
    </xf>
    <xf numFmtId="166" fontId="65" fillId="24" borderId="48" xfId="5" applyNumberFormat="1" applyFont="1" applyFill="1" applyBorder="1" applyAlignment="1">
      <alignment horizontal="right" vertical="top" wrapText="1"/>
    </xf>
    <xf numFmtId="166" fontId="65" fillId="24" borderId="49" xfId="5" applyNumberFormat="1" applyFont="1" applyFill="1" applyBorder="1" applyAlignment="1">
      <alignment horizontal="right" vertical="top" wrapText="1"/>
    </xf>
    <xf numFmtId="0" fontId="40" fillId="14" borderId="26" xfId="0" applyFont="1" applyFill="1" applyBorder="1"/>
    <xf numFmtId="0" fontId="8" fillId="0" borderId="22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166" fontId="62" fillId="0" borderId="122" xfId="5" applyNumberFormat="1" applyFont="1" applyBorder="1"/>
    <xf numFmtId="166" fontId="62" fillId="0" borderId="18" xfId="5" applyNumberFormat="1" applyFont="1" applyBorder="1"/>
    <xf numFmtId="166" fontId="57" fillId="22" borderId="22" xfId="5" applyNumberFormat="1" applyFont="1" applyFill="1" applyBorder="1" applyAlignment="1">
      <alignment horizontal="center"/>
    </xf>
    <xf numFmtId="166" fontId="62" fillId="21" borderId="86" xfId="5" applyNumberFormat="1" applyFont="1" applyFill="1" applyBorder="1" applyAlignment="1">
      <alignment horizontal="center"/>
    </xf>
    <xf numFmtId="166" fontId="61" fillId="19" borderId="22" xfId="5" applyNumberFormat="1" applyFont="1" applyFill="1" applyBorder="1" applyAlignment="1">
      <alignment horizontal="center"/>
    </xf>
    <xf numFmtId="166" fontId="62" fillId="22" borderId="22" xfId="5" applyNumberFormat="1" applyFont="1" applyFill="1" applyBorder="1"/>
    <xf numFmtId="166" fontId="62" fillId="22" borderId="125" xfId="5" applyNumberFormat="1" applyFont="1" applyFill="1" applyBorder="1"/>
    <xf numFmtId="166" fontId="33" fillId="0" borderId="18" xfId="5" applyNumberFormat="1" applyFont="1" applyBorder="1"/>
    <xf numFmtId="166" fontId="33" fillId="0" borderId="23" xfId="5" applyNumberFormat="1" applyFont="1" applyBorder="1"/>
    <xf numFmtId="0" fontId="66" fillId="0" borderId="131" xfId="0" applyFont="1" applyBorder="1" applyAlignment="1">
      <alignment horizontal="center" vertical="center"/>
    </xf>
    <xf numFmtId="0" fontId="66" fillId="0" borderId="130" xfId="0" applyFont="1" applyBorder="1" applyAlignment="1">
      <alignment horizontal="center" vertical="center"/>
    </xf>
    <xf numFmtId="0" fontId="59" fillId="0" borderId="0" xfId="6"/>
    <xf numFmtId="0" fontId="0" fillId="24" borderId="22" xfId="0" applyFill="1" applyBorder="1"/>
    <xf numFmtId="0" fontId="0" fillId="24" borderId="22" xfId="0" applyFill="1" applyBorder="1" applyAlignment="1">
      <alignment horizontal="center" vertical="center"/>
    </xf>
    <xf numFmtId="0" fontId="0" fillId="24" borderId="22" xfId="0" applyFill="1" applyBorder="1" applyAlignment="1">
      <alignment horizontal="center" vertical="center" wrapText="1"/>
    </xf>
    <xf numFmtId="0" fontId="0" fillId="0" borderId="22" xfId="0" applyBorder="1"/>
    <xf numFmtId="170" fontId="0" fillId="0" borderId="22" xfId="0" applyNumberFormat="1" applyBorder="1"/>
    <xf numFmtId="9" fontId="0" fillId="18" borderId="0" xfId="4" applyFont="1" applyFill="1" applyAlignment="1">
      <alignment horizontal="center" vertical="top" wrapText="1"/>
    </xf>
    <xf numFmtId="0" fontId="35" fillId="0" borderId="0" xfId="0" applyFont="1" applyAlignment="1">
      <alignment horizontal="left"/>
    </xf>
    <xf numFmtId="0" fontId="42" fillId="0" borderId="24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35" fillId="17" borderId="130" xfId="0" applyFont="1" applyFill="1" applyBorder="1" applyAlignment="1">
      <alignment horizontal="center" vertical="center"/>
    </xf>
    <xf numFmtId="0" fontId="35" fillId="17" borderId="157" xfId="0" applyFont="1" applyFill="1" applyBorder="1" applyAlignment="1">
      <alignment horizontal="center" vertical="center"/>
    </xf>
    <xf numFmtId="3" fontId="66" fillId="22" borderId="24" xfId="0" applyNumberFormat="1" applyFont="1" applyFill="1" applyBorder="1" applyAlignment="1">
      <alignment horizontal="center" vertical="center"/>
    </xf>
    <xf numFmtId="3" fontId="66" fillId="22" borderId="6" xfId="0" applyNumberFormat="1" applyFont="1" applyFill="1" applyBorder="1" applyAlignment="1">
      <alignment horizontal="center" vertical="center"/>
    </xf>
    <xf numFmtId="0" fontId="66" fillId="22" borderId="131" xfId="0" applyFont="1" applyFill="1" applyBorder="1" applyAlignment="1">
      <alignment horizontal="center" vertical="center"/>
    </xf>
    <xf numFmtId="0" fontId="66" fillId="22" borderId="130" xfId="0" applyFont="1" applyFill="1" applyBorder="1" applyAlignment="1">
      <alignment horizontal="center" vertical="center"/>
    </xf>
    <xf numFmtId="0" fontId="35" fillId="17" borderId="133" xfId="0" applyFont="1" applyFill="1" applyBorder="1" applyAlignment="1">
      <alignment horizontal="left" vertical="center"/>
    </xf>
    <xf numFmtId="10" fontId="35" fillId="0" borderId="0" xfId="4" applyNumberFormat="1" applyFont="1"/>
    <xf numFmtId="0" fontId="38" fillId="17" borderId="158" xfId="0" applyFont="1" applyFill="1" applyBorder="1" applyAlignment="1">
      <alignment horizontal="left" vertical="center"/>
    </xf>
    <xf numFmtId="0" fontId="35" fillId="17" borderId="158" xfId="0" applyFont="1" applyFill="1" applyBorder="1" applyAlignment="1">
      <alignment horizontal="left" vertical="center"/>
    </xf>
    <xf numFmtId="9" fontId="35" fillId="0" borderId="0" xfId="4" applyFont="1"/>
    <xf numFmtId="0" fontId="0" fillId="24" borderId="126" xfId="0" applyFill="1" applyBorder="1" applyAlignment="1">
      <alignment horizontal="center" vertical="center"/>
    </xf>
    <xf numFmtId="170" fontId="6" fillId="3" borderId="22" xfId="1" applyNumberFormat="1" applyBorder="1"/>
    <xf numFmtId="1" fontId="37" fillId="0" borderId="0" xfId="0" applyNumberFormat="1" applyFont="1"/>
    <xf numFmtId="9" fontId="0" fillId="18" borderId="0" xfId="0" applyNumberFormat="1" applyFill="1" applyAlignment="1">
      <alignment horizontal="center" vertical="top" wrapText="1"/>
    </xf>
    <xf numFmtId="0" fontId="69" fillId="29" borderId="22" xfId="0" applyFont="1" applyFill="1" applyBorder="1" applyAlignment="1">
      <alignment horizontal="left" vertical="center" wrapText="1" readingOrder="1"/>
    </xf>
    <xf numFmtId="0" fontId="70" fillId="19" borderId="22" xfId="0" applyFont="1" applyFill="1" applyBorder="1" applyAlignment="1">
      <alignment horizontal="center" vertical="center" wrapText="1" readingOrder="1"/>
    </xf>
    <xf numFmtId="0" fontId="71" fillId="30" borderId="22" xfId="0" applyFont="1" applyFill="1" applyBorder="1" applyAlignment="1">
      <alignment horizontal="left" vertical="center" wrapText="1" readingOrder="1"/>
    </xf>
    <xf numFmtId="0" fontId="72" fillId="30" borderId="22" xfId="0" applyFont="1" applyFill="1" applyBorder="1" applyAlignment="1">
      <alignment horizontal="right" vertical="center" wrapText="1" readingOrder="1"/>
    </xf>
    <xf numFmtId="0" fontId="71" fillId="31" borderId="22" xfId="0" applyFont="1" applyFill="1" applyBorder="1" applyAlignment="1">
      <alignment horizontal="left" vertical="center" wrapText="1" readingOrder="1"/>
    </xf>
    <xf numFmtId="3" fontId="72" fillId="31" borderId="22" xfId="0" applyNumberFormat="1" applyFont="1" applyFill="1" applyBorder="1" applyAlignment="1">
      <alignment horizontal="right" vertical="center" wrapText="1" readingOrder="1"/>
    </xf>
    <xf numFmtId="0" fontId="72" fillId="30" borderId="22" xfId="0" applyFont="1" applyFill="1" applyBorder="1" applyAlignment="1">
      <alignment horizontal="left" vertical="center" wrapText="1" readingOrder="1"/>
    </xf>
    <xf numFmtId="0" fontId="68" fillId="30" borderId="22" xfId="0" applyFont="1" applyFill="1" applyBorder="1" applyAlignment="1">
      <alignment horizontal="right" vertical="top" wrapText="1"/>
    </xf>
    <xf numFmtId="0" fontId="28" fillId="32" borderId="22" xfId="0" applyFont="1" applyFill="1" applyBorder="1"/>
    <xf numFmtId="0" fontId="0" fillId="32" borderId="22" xfId="0" applyFill="1" applyBorder="1"/>
    <xf numFmtId="0" fontId="74" fillId="11" borderId="87" xfId="0" applyFont="1" applyFill="1" applyBorder="1"/>
    <xf numFmtId="0" fontId="74" fillId="11" borderId="60" xfId="0" applyFont="1" applyFill="1" applyBorder="1"/>
    <xf numFmtId="0" fontId="1" fillId="0" borderId="0" xfId="0" applyFont="1"/>
    <xf numFmtId="0" fontId="74" fillId="11" borderId="171" xfId="0" applyFont="1" applyFill="1" applyBorder="1"/>
    <xf numFmtId="0" fontId="74" fillId="11" borderId="22" xfId="0" applyFont="1" applyFill="1" applyBorder="1"/>
    <xf numFmtId="0" fontId="74" fillId="11" borderId="125" xfId="0" applyFont="1" applyFill="1" applyBorder="1" applyAlignment="1">
      <alignment horizontal="center"/>
    </xf>
    <xf numFmtId="0" fontId="74" fillId="11" borderId="34" xfId="0" applyFont="1" applyFill="1" applyBorder="1" applyAlignment="1">
      <alignment horizontal="center"/>
    </xf>
    <xf numFmtId="0" fontId="74" fillId="11" borderId="113" xfId="0" applyFont="1" applyFill="1" applyBorder="1" applyAlignment="1">
      <alignment horizontal="center"/>
    </xf>
    <xf numFmtId="0" fontId="74" fillId="28" borderId="173" xfId="0" applyFont="1" applyFill="1" applyBorder="1"/>
    <xf numFmtId="171" fontId="1" fillId="0" borderId="86" xfId="0" applyNumberFormat="1" applyFont="1" applyBorder="1"/>
    <xf numFmtId="171" fontId="74" fillId="0" borderId="39" xfId="0" applyNumberFormat="1" applyFont="1" applyBorder="1"/>
    <xf numFmtId="0" fontId="74" fillId="28" borderId="87" xfId="0" applyFont="1" applyFill="1" applyBorder="1" applyAlignment="1">
      <alignment wrapText="1"/>
    </xf>
    <xf numFmtId="171" fontId="1" fillId="0" borderId="60" xfId="0" applyNumberFormat="1" applyFont="1" applyBorder="1"/>
    <xf numFmtId="0" fontId="74" fillId="28" borderId="174" xfId="0" applyFont="1" applyFill="1" applyBorder="1"/>
    <xf numFmtId="171" fontId="1" fillId="0" borderId="65" xfId="0" applyNumberFormat="1" applyFont="1" applyBorder="1"/>
    <xf numFmtId="0" fontId="74" fillId="28" borderId="175" xfId="0" applyFont="1" applyFill="1" applyBorder="1"/>
    <xf numFmtId="0" fontId="1" fillId="0" borderId="114" xfId="0" applyFont="1" applyBorder="1"/>
    <xf numFmtId="0" fontId="1" fillId="0" borderId="172" xfId="0" applyFont="1" applyBorder="1"/>
    <xf numFmtId="171" fontId="1" fillId="0" borderId="0" xfId="0" applyNumberFormat="1" applyFont="1"/>
    <xf numFmtId="0" fontId="74" fillId="28" borderId="171" xfId="0" applyFont="1" applyFill="1" applyBorder="1"/>
    <xf numFmtId="0" fontId="1" fillId="0" borderId="22" xfId="0" applyFont="1" applyBorder="1"/>
    <xf numFmtId="0" fontId="1" fillId="0" borderId="65" xfId="0" applyFont="1" applyBorder="1"/>
    <xf numFmtId="0" fontId="1" fillId="0" borderId="176" xfId="0" applyFont="1" applyBorder="1"/>
    <xf numFmtId="3" fontId="35" fillId="0" borderId="0" xfId="0" applyNumberFormat="1" applyFont="1"/>
    <xf numFmtId="171" fontId="35" fillId="0" borderId="0" xfId="0" applyNumberFormat="1" applyFont="1" applyAlignment="1">
      <alignment horizontal="left" vertical="center"/>
    </xf>
    <xf numFmtId="0" fontId="42" fillId="33" borderId="14" xfId="0" applyFont="1" applyFill="1" applyBorder="1" applyAlignment="1">
      <alignment horizontal="center" vertical="center"/>
    </xf>
    <xf numFmtId="0" fontId="42" fillId="33" borderId="23" xfId="0" applyFont="1" applyFill="1" applyBorder="1" applyAlignment="1">
      <alignment horizontal="center" vertical="center"/>
    </xf>
    <xf numFmtId="0" fontId="42" fillId="33" borderId="13" xfId="0" applyFont="1" applyFill="1" applyBorder="1" applyAlignment="1">
      <alignment horizontal="center" vertical="center"/>
    </xf>
    <xf numFmtId="0" fontId="66" fillId="33" borderId="165" xfId="0" applyFont="1" applyFill="1" applyBorder="1" applyAlignment="1">
      <alignment horizontal="center" vertical="center"/>
    </xf>
    <xf numFmtId="0" fontId="66" fillId="33" borderId="166" xfId="0" applyFont="1" applyFill="1" applyBorder="1" applyAlignment="1">
      <alignment horizontal="center" vertical="center"/>
    </xf>
    <xf numFmtId="0" fontId="38" fillId="33" borderId="164" xfId="0" applyFont="1" applyFill="1" applyBorder="1" applyAlignment="1">
      <alignment horizontal="left" vertical="center"/>
    </xf>
    <xf numFmtId="0" fontId="73" fillId="33" borderId="80" xfId="0" applyFont="1" applyFill="1" applyBorder="1" applyAlignment="1">
      <alignment horizontal="left" vertical="center"/>
    </xf>
    <xf numFmtId="0" fontId="42" fillId="33" borderId="24" xfId="0" applyFont="1" applyFill="1" applyBorder="1" applyAlignment="1">
      <alignment horizontal="center" vertical="center"/>
    </xf>
    <xf numFmtId="0" fontId="42" fillId="33" borderId="0" xfId="0" applyFont="1" applyFill="1" applyAlignment="1">
      <alignment horizontal="center" vertical="center"/>
    </xf>
    <xf numFmtId="0" fontId="42" fillId="33" borderId="6" xfId="0" applyFont="1" applyFill="1" applyBorder="1" applyAlignment="1">
      <alignment horizontal="center" vertical="center"/>
    </xf>
    <xf numFmtId="0" fontId="66" fillId="33" borderId="168" xfId="0" applyFont="1" applyFill="1" applyBorder="1" applyAlignment="1">
      <alignment horizontal="center" vertical="center"/>
    </xf>
    <xf numFmtId="0" fontId="66" fillId="33" borderId="169" xfId="0" applyFont="1" applyFill="1" applyBorder="1" applyAlignment="1">
      <alignment horizontal="center" vertical="center"/>
    </xf>
    <xf numFmtId="0" fontId="35" fillId="33" borderId="166" xfId="0" applyFont="1" applyFill="1" applyBorder="1" applyAlignment="1">
      <alignment horizontal="center" vertical="center"/>
    </xf>
    <xf numFmtId="0" fontId="35" fillId="33" borderId="167" xfId="0" applyFont="1" applyFill="1" applyBorder="1" applyAlignment="1">
      <alignment horizontal="center" vertical="center"/>
    </xf>
    <xf numFmtId="3" fontId="66" fillId="33" borderId="14" xfId="0" applyNumberFormat="1" applyFont="1" applyFill="1" applyBorder="1" applyAlignment="1">
      <alignment horizontal="center" vertical="center"/>
    </xf>
    <xf numFmtId="3" fontId="66" fillId="33" borderId="13" xfId="0" applyNumberFormat="1" applyFont="1" applyFill="1" applyBorder="1" applyAlignment="1">
      <alignment horizontal="center" vertical="center"/>
    </xf>
    <xf numFmtId="0" fontId="35" fillId="33" borderId="169" xfId="0" applyFont="1" applyFill="1" applyBorder="1" applyAlignment="1">
      <alignment horizontal="center" vertical="center"/>
    </xf>
    <xf numFmtId="0" fontId="35" fillId="33" borderId="170" xfId="0" applyFont="1" applyFill="1" applyBorder="1" applyAlignment="1">
      <alignment horizontal="center" vertical="center"/>
    </xf>
    <xf numFmtId="3" fontId="66" fillId="33" borderId="24" xfId="0" applyNumberFormat="1" applyFont="1" applyFill="1" applyBorder="1" applyAlignment="1">
      <alignment horizontal="center" vertical="center"/>
    </xf>
    <xf numFmtId="3" fontId="66" fillId="33" borderId="6" xfId="0" applyNumberFormat="1" applyFont="1" applyFill="1" applyBorder="1" applyAlignment="1">
      <alignment horizontal="center" vertical="center"/>
    </xf>
    <xf numFmtId="0" fontId="66" fillId="33" borderId="131" xfId="0" applyFont="1" applyFill="1" applyBorder="1" applyAlignment="1">
      <alignment horizontal="center" vertical="center"/>
    </xf>
    <xf numFmtId="0" fontId="66" fillId="33" borderId="130" xfId="0" applyFont="1" applyFill="1" applyBorder="1" applyAlignment="1">
      <alignment horizontal="center" vertical="center"/>
    </xf>
    <xf numFmtId="0" fontId="35" fillId="33" borderId="130" xfId="0" applyFont="1" applyFill="1" applyBorder="1" applyAlignment="1">
      <alignment horizontal="center" vertical="center"/>
    </xf>
    <xf numFmtId="0" fontId="35" fillId="33" borderId="157" xfId="0" applyFont="1" applyFill="1" applyBorder="1" applyAlignment="1">
      <alignment horizontal="center" vertical="center"/>
    </xf>
    <xf numFmtId="0" fontId="38" fillId="33" borderId="133" xfId="0" applyFont="1" applyFill="1" applyBorder="1" applyAlignment="1">
      <alignment horizontal="left" vertical="center"/>
    </xf>
    <xf numFmtId="0" fontId="42" fillId="33" borderId="14" xfId="0" applyFont="1" applyFill="1" applyBorder="1" applyAlignment="1">
      <alignment horizontal="center" vertical="center" wrapText="1"/>
    </xf>
    <xf numFmtId="0" fontId="73" fillId="34" borderId="0" xfId="0" applyFont="1" applyFill="1"/>
    <xf numFmtId="0" fontId="76" fillId="0" borderId="0" xfId="0" applyFont="1" applyAlignment="1">
      <alignment vertical="center"/>
    </xf>
    <xf numFmtId="0" fontId="35" fillId="33" borderId="8" xfId="0" applyFont="1" applyFill="1" applyBorder="1" applyAlignment="1">
      <alignment vertical="center" wrapText="1"/>
    </xf>
    <xf numFmtId="0" fontId="35" fillId="33" borderId="0" xfId="0" applyFont="1" applyFill="1" applyAlignment="1">
      <alignment horizontal="center" vertical="center" wrapText="1"/>
    </xf>
    <xf numFmtId="0" fontId="35" fillId="17" borderId="80" xfId="0" applyFont="1" applyFill="1" applyBorder="1" applyAlignment="1">
      <alignment vertical="center" wrapText="1"/>
    </xf>
    <xf numFmtId="0" fontId="78" fillId="12" borderId="69" xfId="0" applyFont="1" applyFill="1" applyBorder="1" applyAlignment="1">
      <alignment horizontal="left" vertical="center"/>
    </xf>
    <xf numFmtId="0" fontId="78" fillId="12" borderId="69" xfId="0" applyFont="1" applyFill="1" applyBorder="1" applyAlignment="1">
      <alignment horizontal="center" vertical="center"/>
    </xf>
    <xf numFmtId="164" fontId="79" fillId="20" borderId="160" xfId="7" applyFont="1" applyFill="1" applyBorder="1" applyAlignment="1">
      <alignment horizontal="center" vertical="center" wrapText="1"/>
    </xf>
    <xf numFmtId="0" fontId="82" fillId="0" borderId="0" xfId="0" applyFont="1"/>
    <xf numFmtId="0" fontId="0" fillId="18" borderId="24" xfId="0" applyFill="1" applyBorder="1" applyAlignment="1">
      <alignment horizontal="center" vertical="top" wrapText="1"/>
    </xf>
    <xf numFmtId="0" fontId="0" fillId="18" borderId="0" xfId="0" applyFill="1" applyAlignment="1">
      <alignment horizontal="center" vertical="top" wrapText="1"/>
    </xf>
    <xf numFmtId="0" fontId="0" fillId="18" borderId="6" xfId="0" applyFill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31" fillId="0" borderId="0" xfId="0" applyFont="1" applyAlignment="1">
      <alignment horizontal="center"/>
    </xf>
    <xf numFmtId="0" fontId="36" fillId="12" borderId="14" xfId="0" applyFont="1" applyFill="1" applyBorder="1" applyAlignment="1">
      <alignment horizontal="center" vertical="center" wrapText="1"/>
    </xf>
    <xf numFmtId="0" fontId="36" fillId="12" borderId="23" xfId="0" applyFont="1" applyFill="1" applyBorder="1" applyAlignment="1">
      <alignment horizontal="center" vertical="center" wrapText="1"/>
    </xf>
    <xf numFmtId="0" fontId="36" fillId="12" borderId="13" xfId="0" applyFont="1" applyFill="1" applyBorder="1" applyAlignment="1">
      <alignment horizontal="center" vertical="center" wrapText="1"/>
    </xf>
    <xf numFmtId="0" fontId="5" fillId="26" borderId="4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top"/>
    </xf>
    <xf numFmtId="0" fontId="53" fillId="15" borderId="26" xfId="0" applyFont="1" applyFill="1" applyBorder="1" applyAlignment="1">
      <alignment horizontal="center" vertical="center"/>
    </xf>
    <xf numFmtId="0" fontId="35" fillId="15" borderId="0" xfId="0" applyFont="1" applyFill="1"/>
    <xf numFmtId="0" fontId="54" fillId="12" borderId="24" xfId="0" applyFont="1" applyFill="1" applyBorder="1" applyAlignment="1">
      <alignment horizontal="center" vertical="center" wrapText="1"/>
    </xf>
    <xf numFmtId="0" fontId="54" fillId="12" borderId="0" xfId="0" applyFont="1" applyFill="1" applyAlignment="1">
      <alignment horizontal="center" vertical="center" wrapText="1"/>
    </xf>
    <xf numFmtId="0" fontId="54" fillId="12" borderId="13" xfId="0" applyFont="1" applyFill="1" applyBorder="1" applyAlignment="1">
      <alignment horizontal="center" vertical="center" wrapText="1"/>
    </xf>
    <xf numFmtId="0" fontId="83" fillId="12" borderId="80" xfId="0" applyFont="1" applyFill="1" applyBorder="1" applyAlignment="1">
      <alignment vertical="center" wrapText="1"/>
    </xf>
    <xf numFmtId="0" fontId="83" fillId="12" borderId="0" xfId="0" applyFont="1" applyFill="1" applyAlignment="1">
      <alignment vertical="center" wrapText="1"/>
    </xf>
    <xf numFmtId="0" fontId="83" fillId="12" borderId="24" xfId="0" applyFont="1" applyFill="1" applyBorder="1" applyAlignment="1">
      <alignment vertical="center"/>
    </xf>
    <xf numFmtId="0" fontId="83" fillId="12" borderId="0" xfId="0" applyFont="1" applyFill="1" applyAlignment="1">
      <alignment vertical="center"/>
    </xf>
    <xf numFmtId="0" fontId="83" fillId="12" borderId="6" xfId="0" applyFont="1" applyFill="1" applyBorder="1" applyAlignment="1">
      <alignment vertical="center"/>
    </xf>
    <xf numFmtId="0" fontId="83" fillId="12" borderId="177" xfId="0" applyFont="1" applyFill="1" applyBorder="1" applyAlignment="1">
      <alignment vertical="center"/>
    </xf>
    <xf numFmtId="0" fontId="83" fillId="12" borderId="178" xfId="0" applyFont="1" applyFill="1" applyBorder="1" applyAlignment="1">
      <alignment horizontal="center" vertical="center" wrapText="1"/>
    </xf>
    <xf numFmtId="0" fontId="83" fillId="12" borderId="177" xfId="0" applyFont="1" applyFill="1" applyBorder="1" applyAlignment="1">
      <alignment horizontal="center" vertical="center" wrapText="1"/>
    </xf>
    <xf numFmtId="0" fontId="83" fillId="12" borderId="179" xfId="0" applyFont="1" applyFill="1" applyBorder="1" applyAlignment="1">
      <alignment horizontal="center" vertical="center" wrapText="1"/>
    </xf>
    <xf numFmtId="0" fontId="83" fillId="12" borderId="13" xfId="0" applyFont="1" applyFill="1" applyBorder="1" applyAlignment="1">
      <alignment horizontal="center" vertical="center" wrapText="1"/>
    </xf>
    <xf numFmtId="0" fontId="83" fillId="12" borderId="8" xfId="0" applyFont="1" applyFill="1" applyBorder="1" applyAlignment="1">
      <alignment horizontal="center" vertical="center" wrapText="1"/>
    </xf>
    <xf numFmtId="0" fontId="83" fillId="12" borderId="14" xfId="0" applyFont="1" applyFill="1" applyBorder="1" applyAlignment="1">
      <alignment horizontal="center" vertical="center" wrapText="1"/>
    </xf>
    <xf numFmtId="0" fontId="83" fillId="12" borderId="23" xfId="0" applyFont="1" applyFill="1" applyBorder="1" applyAlignment="1">
      <alignment horizontal="center" vertical="center" wrapText="1"/>
    </xf>
    <xf numFmtId="0" fontId="36" fillId="12" borderId="177" xfId="0" applyFont="1" applyFill="1" applyBorder="1" applyAlignment="1">
      <alignment vertical="top"/>
    </xf>
    <xf numFmtId="0" fontId="36" fillId="12" borderId="178" xfId="0" applyFont="1" applyFill="1" applyBorder="1" applyAlignment="1">
      <alignment vertical="top"/>
    </xf>
    <xf numFmtId="0" fontId="36" fillId="12" borderId="180" xfId="0" applyFont="1" applyFill="1" applyBorder="1" applyAlignment="1">
      <alignment vertical="top"/>
    </xf>
    <xf numFmtId="0" fontId="36" fillId="12" borderId="180" xfId="0" applyFont="1" applyFill="1" applyBorder="1" applyAlignment="1">
      <alignment horizontal="center" vertical="center" wrapText="1"/>
    </xf>
    <xf numFmtId="0" fontId="36" fillId="12" borderId="181" xfId="0" applyFont="1" applyFill="1" applyBorder="1" applyAlignment="1">
      <alignment horizontal="center" vertical="center" wrapText="1"/>
    </xf>
    <xf numFmtId="0" fontId="83" fillId="12" borderId="80" xfId="0" applyFont="1" applyFill="1" applyBorder="1" applyAlignment="1">
      <alignment horizontal="center" vertical="top" wrapText="1"/>
    </xf>
    <xf numFmtId="0" fontId="83" fillId="12" borderId="6" xfId="0" applyFont="1" applyFill="1" applyBorder="1" applyAlignment="1">
      <alignment horizontal="center" vertical="top" wrapText="1"/>
    </xf>
    <xf numFmtId="0" fontId="83" fillId="12" borderId="24" xfId="0" applyFont="1" applyFill="1" applyBorder="1" applyAlignment="1">
      <alignment horizontal="center" vertical="center" wrapText="1"/>
    </xf>
    <xf numFmtId="0" fontId="83" fillId="12" borderId="0" xfId="0" applyFont="1" applyFill="1" applyAlignment="1">
      <alignment horizontal="center" vertical="center" wrapText="1"/>
    </xf>
    <xf numFmtId="0" fontId="83" fillId="12" borderId="6" xfId="0" applyFont="1" applyFill="1" applyBorder="1" applyAlignment="1">
      <alignment horizontal="center" vertical="center" wrapText="1"/>
    </xf>
    <xf numFmtId="0" fontId="38" fillId="17" borderId="133" xfId="0" applyFont="1" applyFill="1" applyBorder="1" applyAlignment="1">
      <alignment vertical="center" wrapText="1"/>
    </xf>
    <xf numFmtId="0" fontId="35" fillId="17" borderId="133" xfId="0" applyFont="1" applyFill="1" applyBorder="1" applyAlignment="1">
      <alignment vertical="center" wrapText="1"/>
    </xf>
    <xf numFmtId="0" fontId="37" fillId="17" borderId="154" xfId="0" applyFont="1" applyFill="1" applyBorder="1" applyAlignment="1">
      <alignment horizontal="center" vertical="center"/>
    </xf>
    <xf numFmtId="0" fontId="37" fillId="17" borderId="182" xfId="0" applyFont="1" applyFill="1" applyBorder="1" applyAlignment="1">
      <alignment horizontal="center" vertical="center"/>
    </xf>
    <xf numFmtId="0" fontId="37" fillId="17" borderId="183" xfId="0" applyFont="1" applyFill="1" applyBorder="1" applyAlignment="1">
      <alignment horizontal="center" vertical="center"/>
    </xf>
    <xf numFmtId="0" fontId="37" fillId="17" borderId="156" xfId="0" applyFont="1" applyFill="1" applyBorder="1" applyAlignment="1">
      <alignment horizontal="center" vertical="center"/>
    </xf>
    <xf numFmtId="0" fontId="85" fillId="17" borderId="184" xfId="0" applyFont="1" applyFill="1" applyBorder="1" applyAlignment="1">
      <alignment horizontal="center" vertical="center"/>
    </xf>
    <xf numFmtId="0" fontId="85" fillId="17" borderId="130" xfId="0" applyFont="1" applyFill="1" applyBorder="1" applyAlignment="1">
      <alignment horizontal="center" vertical="center"/>
    </xf>
    <xf numFmtId="172" fontId="85" fillId="17" borderId="130" xfId="0" applyNumberFormat="1" applyFont="1" applyFill="1" applyBorder="1" applyAlignment="1">
      <alignment horizontal="center" vertical="center"/>
    </xf>
    <xf numFmtId="172" fontId="85" fillId="17" borderId="157" xfId="0" applyNumberFormat="1" applyFont="1" applyFill="1" applyBorder="1" applyAlignment="1">
      <alignment horizontal="center" vertical="center"/>
    </xf>
    <xf numFmtId="0" fontId="35" fillId="17" borderId="184" xfId="0" applyFont="1" applyFill="1" applyBorder="1" applyAlignment="1">
      <alignment horizontal="center" vertical="center"/>
    </xf>
    <xf numFmtId="172" fontId="66" fillId="13" borderId="181" xfId="0" applyNumberFormat="1" applyFont="1" applyFill="1" applyBorder="1" applyAlignment="1">
      <alignment horizontal="center" vertical="center"/>
    </xf>
    <xf numFmtId="172" fontId="66" fillId="13" borderId="6" xfId="0" applyNumberFormat="1" applyFont="1" applyFill="1" applyBorder="1" applyAlignment="1">
      <alignment horizontal="center" vertical="center"/>
    </xf>
    <xf numFmtId="0" fontId="37" fillId="17" borderId="155" xfId="0" applyFont="1" applyFill="1" applyBorder="1" applyAlignment="1">
      <alignment horizontal="center" vertical="center"/>
    </xf>
    <xf numFmtId="0" fontId="85" fillId="17" borderId="184" xfId="0" applyFont="1" applyFill="1" applyBorder="1" applyAlignment="1">
      <alignment horizontal="center" vertical="center" wrapText="1"/>
    </xf>
    <xf numFmtId="0" fontId="35" fillId="17" borderId="132" xfId="0" applyFont="1" applyFill="1" applyBorder="1" applyAlignment="1">
      <alignment vertical="top" wrapText="1"/>
    </xf>
    <xf numFmtId="0" fontId="37" fillId="17" borderId="185" xfId="0" applyFont="1" applyFill="1" applyBorder="1" applyAlignment="1">
      <alignment horizontal="center" vertical="center"/>
    </xf>
    <xf numFmtId="0" fontId="37" fillId="17" borderId="186" xfId="0" applyFont="1" applyFill="1" applyBorder="1" applyAlignment="1">
      <alignment horizontal="center" vertical="center"/>
    </xf>
    <xf numFmtId="0" fontId="37" fillId="17" borderId="187" xfId="0" applyFont="1" applyFill="1" applyBorder="1" applyAlignment="1">
      <alignment horizontal="center" vertical="center"/>
    </xf>
    <xf numFmtId="0" fontId="85" fillId="17" borderId="188" xfId="0" applyFont="1" applyFill="1" applyBorder="1" applyAlignment="1">
      <alignment horizontal="center" vertical="center"/>
    </xf>
    <xf numFmtId="0" fontId="85" fillId="17" borderId="189" xfId="0" applyFont="1" applyFill="1" applyBorder="1" applyAlignment="1">
      <alignment horizontal="center" vertical="center"/>
    </xf>
    <xf numFmtId="172" fontId="85" fillId="17" borderId="189" xfId="0" applyNumberFormat="1" applyFont="1" applyFill="1" applyBorder="1" applyAlignment="1">
      <alignment horizontal="center" vertical="center"/>
    </xf>
    <xf numFmtId="172" fontId="85" fillId="17" borderId="190" xfId="0" applyNumberFormat="1" applyFont="1" applyFill="1" applyBorder="1" applyAlignment="1">
      <alignment horizontal="center" vertical="center"/>
    </xf>
    <xf numFmtId="0" fontId="35" fillId="17" borderId="188" xfId="0" applyFont="1" applyFill="1" applyBorder="1" applyAlignment="1">
      <alignment horizontal="center" vertical="center"/>
    </xf>
    <xf numFmtId="0" fontId="35" fillId="17" borderId="189" xfId="0" applyFont="1" applyFill="1" applyBorder="1" applyAlignment="1">
      <alignment horizontal="center" vertical="center"/>
    </xf>
    <xf numFmtId="172" fontId="66" fillId="13" borderId="191" xfId="0" applyNumberFormat="1" applyFont="1" applyFill="1" applyBorder="1" applyAlignment="1">
      <alignment horizontal="center" vertical="center"/>
    </xf>
    <xf numFmtId="172" fontId="40" fillId="14" borderId="26" xfId="0" applyNumberFormat="1" applyFont="1" applyFill="1" applyBorder="1"/>
    <xf numFmtId="172" fontId="40" fillId="14" borderId="5" xfId="0" applyNumberFormat="1" applyFont="1" applyFill="1" applyBorder="1" applyAlignment="1">
      <alignment horizontal="center" vertical="center"/>
    </xf>
    <xf numFmtId="172" fontId="40" fillId="14" borderId="30" xfId="0" applyNumberFormat="1" applyFont="1" applyFill="1" applyBorder="1" applyAlignment="1">
      <alignment horizontal="center" vertical="center"/>
    </xf>
    <xf numFmtId="172" fontId="40" fillId="14" borderId="26" xfId="0" applyNumberFormat="1" applyFont="1" applyFill="1" applyBorder="1" applyAlignment="1">
      <alignment horizontal="center" vertical="center"/>
    </xf>
    <xf numFmtId="0" fontId="36" fillId="12" borderId="0" xfId="0" applyFont="1" applyFill="1" applyBorder="1" applyAlignment="1">
      <alignment vertical="top"/>
    </xf>
    <xf numFmtId="0" fontId="36" fillId="12" borderId="0" xfId="0" applyFont="1" applyFill="1" applyBorder="1" applyAlignment="1">
      <alignment horizontal="center" vertical="center" wrapText="1"/>
    </xf>
    <xf numFmtId="0" fontId="35" fillId="17" borderId="130" xfId="0" applyFont="1" applyFill="1" applyBorder="1" applyAlignment="1">
      <alignment horizontal="center"/>
    </xf>
    <xf numFmtId="0" fontId="91" fillId="27" borderId="0" xfId="0" applyFont="1" applyFill="1"/>
    <xf numFmtId="0" fontId="0" fillId="27" borderId="0" xfId="0" applyFill="1"/>
    <xf numFmtId="0" fontId="35" fillId="17" borderId="91" xfId="3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5" borderId="53" xfId="3" applyFont="1" applyBorder="1" applyAlignment="1">
      <alignment horizontal="center" vertical="center" wrapText="1"/>
    </xf>
    <xf numFmtId="0" fontId="22" fillId="5" borderId="56" xfId="3" applyFont="1" applyBorder="1" applyAlignment="1">
      <alignment horizontal="center" vertical="center" wrapText="1"/>
    </xf>
    <xf numFmtId="0" fontId="24" fillId="3" borderId="67" xfId="1" applyFont="1" applyBorder="1" applyAlignment="1">
      <alignment horizontal="center" vertical="center" wrapText="1"/>
    </xf>
    <xf numFmtId="0" fontId="24" fillId="3" borderId="68" xfId="1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17" fillId="8" borderId="62" xfId="0" applyFont="1" applyFill="1" applyBorder="1" applyAlignment="1">
      <alignment horizontal="right" vertical="center" wrapText="1"/>
    </xf>
    <xf numFmtId="0" fontId="17" fillId="8" borderId="34" xfId="0" applyFont="1" applyFill="1" applyBorder="1" applyAlignment="1">
      <alignment horizontal="right" vertical="center" wrapText="1"/>
    </xf>
    <xf numFmtId="0" fontId="19" fillId="17" borderId="22" xfId="0" applyFont="1" applyFill="1" applyBorder="1" applyAlignment="1">
      <alignment horizontal="left" vertical="center" wrapText="1"/>
    </xf>
    <xf numFmtId="0" fontId="19" fillId="17" borderId="38" xfId="0" applyFont="1" applyFill="1" applyBorder="1" applyAlignment="1">
      <alignment horizontal="left" vertical="center" wrapText="1"/>
    </xf>
    <xf numFmtId="0" fontId="17" fillId="8" borderId="63" xfId="0" applyFont="1" applyFill="1" applyBorder="1" applyAlignment="1">
      <alignment horizontal="right" vertical="center" wrapText="1"/>
    </xf>
    <xf numFmtId="0" fontId="17" fillId="8" borderId="64" xfId="0" applyFont="1" applyFill="1" applyBorder="1" applyAlignment="1">
      <alignment horizontal="right" vertical="center" wrapText="1"/>
    </xf>
    <xf numFmtId="0" fontId="19" fillId="17" borderId="65" xfId="0" applyFont="1" applyFill="1" applyBorder="1" applyAlignment="1">
      <alignment horizontal="left" vertical="center"/>
    </xf>
    <xf numFmtId="0" fontId="19" fillId="17" borderId="66" xfId="0" applyFont="1" applyFill="1" applyBorder="1" applyAlignment="1">
      <alignment horizontal="left" vertical="center"/>
    </xf>
    <xf numFmtId="0" fontId="20" fillId="0" borderId="0" xfId="0" applyFont="1" applyAlignment="1">
      <alignment horizontal="center"/>
    </xf>
    <xf numFmtId="0" fontId="21" fillId="8" borderId="14" xfId="0" applyFont="1" applyFill="1" applyBorder="1" applyAlignment="1">
      <alignment horizontal="center" vertical="center" wrapText="1"/>
    </xf>
    <xf numFmtId="0" fontId="21" fillId="8" borderId="13" xfId="0" applyFont="1" applyFill="1" applyBorder="1" applyAlignment="1">
      <alignment horizontal="center" vertical="center" wrapText="1"/>
    </xf>
    <xf numFmtId="0" fontId="21" fillId="8" borderId="15" xfId="0" applyFont="1" applyFill="1" applyBorder="1" applyAlignment="1">
      <alignment horizontal="center" vertical="center" wrapText="1"/>
    </xf>
    <xf numFmtId="0" fontId="21" fillId="8" borderId="5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3" fillId="4" borderId="52" xfId="2" applyFont="1" applyBorder="1" applyAlignment="1">
      <alignment horizontal="center" vertical="center" wrapText="1"/>
    </xf>
    <xf numFmtId="0" fontId="23" fillId="4" borderId="44" xfId="2" applyFont="1" applyBorder="1" applyAlignment="1">
      <alignment horizontal="center" vertical="center" wrapText="1"/>
    </xf>
    <xf numFmtId="0" fontId="17" fillId="17" borderId="22" xfId="0" applyFont="1" applyFill="1" applyBorder="1" applyAlignment="1">
      <alignment horizontal="center" vertical="center" wrapText="1"/>
    </xf>
    <xf numFmtId="0" fontId="17" fillId="17" borderId="38" xfId="0" applyFont="1" applyFill="1" applyBorder="1" applyAlignment="1">
      <alignment horizontal="center" vertical="center" wrapText="1"/>
    </xf>
    <xf numFmtId="0" fontId="59" fillId="17" borderId="22" xfId="6" applyFill="1" applyBorder="1" applyAlignment="1">
      <alignment horizontal="center" vertical="center" wrapText="1"/>
    </xf>
    <xf numFmtId="0" fontId="16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17" fillId="8" borderId="58" xfId="0" applyFont="1" applyFill="1" applyBorder="1" applyAlignment="1">
      <alignment horizontal="right" vertical="center" wrapText="1"/>
    </xf>
    <xf numFmtId="0" fontId="17" fillId="8" borderId="59" xfId="0" applyFont="1" applyFill="1" applyBorder="1" applyAlignment="1">
      <alignment horizontal="right" vertical="center" wrapText="1"/>
    </xf>
    <xf numFmtId="0" fontId="18" fillId="17" borderId="60" xfId="0" applyFont="1" applyFill="1" applyBorder="1" applyAlignment="1">
      <alignment horizontal="center" vertical="center" wrapText="1"/>
    </xf>
    <xf numFmtId="0" fontId="18" fillId="17" borderId="61" xfId="0" applyFont="1" applyFill="1" applyBorder="1" applyAlignment="1">
      <alignment horizontal="center" vertical="center" wrapText="1"/>
    </xf>
    <xf numFmtId="0" fontId="34" fillId="19" borderId="21" xfId="0" applyFont="1" applyFill="1" applyBorder="1" applyAlignment="1">
      <alignment horizontal="center" vertical="center"/>
    </xf>
    <xf numFmtId="0" fontId="8" fillId="0" borderId="12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13" xfId="0" applyFont="1" applyBorder="1" applyAlignment="1">
      <alignment horizontal="center"/>
    </xf>
    <xf numFmtId="0" fontId="0" fillId="6" borderId="25" xfId="0" applyFill="1" applyBorder="1" applyAlignment="1">
      <alignment horizontal="center" vertical="top" wrapText="1"/>
    </xf>
    <xf numFmtId="0" fontId="0" fillId="6" borderId="5" xfId="0" applyFill="1" applyBorder="1" applyAlignment="1">
      <alignment horizontal="center" vertical="top" wrapText="1"/>
    </xf>
    <xf numFmtId="0" fontId="9" fillId="6" borderId="28" xfId="0" applyFont="1" applyFill="1" applyBorder="1" applyAlignment="1">
      <alignment horizontal="center" vertical="top" wrapText="1"/>
    </xf>
    <xf numFmtId="0" fontId="9" fillId="6" borderId="29" xfId="0" applyFont="1" applyFill="1" applyBorder="1" applyAlignment="1">
      <alignment horizontal="center" vertical="top" wrapText="1"/>
    </xf>
    <xf numFmtId="0" fontId="9" fillId="6" borderId="30" xfId="0" applyFont="1" applyFill="1" applyBorder="1" applyAlignment="1">
      <alignment horizontal="center" vertical="top" wrapText="1"/>
    </xf>
    <xf numFmtId="0" fontId="9" fillId="6" borderId="14" xfId="0" applyFont="1" applyFill="1" applyBorder="1" applyAlignment="1">
      <alignment horizontal="center" vertical="top" wrapText="1"/>
    </xf>
    <xf numFmtId="0" fontId="9" fillId="6" borderId="23" xfId="0" applyFont="1" applyFill="1" applyBorder="1" applyAlignment="1">
      <alignment horizontal="center" vertical="top" wrapText="1"/>
    </xf>
    <xf numFmtId="0" fontId="9" fillId="6" borderId="13" xfId="0" applyFont="1" applyFill="1" applyBorder="1" applyAlignment="1">
      <alignment horizontal="center" vertical="top" wrapText="1"/>
    </xf>
    <xf numFmtId="0" fontId="0" fillId="6" borderId="31" xfId="0" applyFill="1" applyBorder="1" applyAlignment="1">
      <alignment horizontal="center" vertical="top" wrapText="1"/>
    </xf>
    <xf numFmtId="0" fontId="0" fillId="6" borderId="13" xfId="0" applyFill="1" applyBorder="1" applyAlignment="1">
      <alignment horizontal="center" vertical="top" wrapText="1"/>
    </xf>
    <xf numFmtId="0" fontId="8" fillId="19" borderId="125" xfId="0" applyFont="1" applyFill="1" applyBorder="1" applyAlignment="1">
      <alignment horizontal="left" wrapText="1"/>
    </xf>
    <xf numFmtId="0" fontId="8" fillId="19" borderId="34" xfId="0" applyFont="1" applyFill="1" applyBorder="1" applyAlignment="1">
      <alignment horizontal="left" wrapText="1"/>
    </xf>
    <xf numFmtId="0" fontId="8" fillId="19" borderId="113" xfId="0" applyFont="1" applyFill="1" applyBorder="1" applyAlignment="1">
      <alignment horizontal="left" wrapText="1"/>
    </xf>
    <xf numFmtId="0" fontId="8" fillId="19" borderId="86" xfId="0" applyFont="1" applyFill="1" applyBorder="1" applyAlignment="1">
      <alignment horizontal="center" vertical="top" wrapText="1"/>
    </xf>
    <xf numFmtId="0" fontId="8" fillId="19" borderId="126" xfId="0" applyFont="1" applyFill="1" applyBorder="1" applyAlignment="1">
      <alignment horizontal="center" vertical="top" wrapText="1"/>
    </xf>
    <xf numFmtId="0" fontId="8" fillId="19" borderId="114" xfId="0" applyFont="1" applyFill="1" applyBorder="1" applyAlignment="1">
      <alignment horizontal="center" vertical="top" wrapText="1"/>
    </xf>
    <xf numFmtId="0" fontId="8" fillId="10" borderId="125" xfId="0" applyFont="1" applyFill="1" applyBorder="1" applyAlignment="1">
      <alignment horizontal="center" wrapText="1"/>
    </xf>
    <xf numFmtId="0" fontId="8" fillId="10" borderId="113" xfId="0" applyFont="1" applyFill="1" applyBorder="1" applyAlignment="1">
      <alignment horizontal="center" wrapText="1"/>
    </xf>
    <xf numFmtId="0" fontId="8" fillId="10" borderId="125" xfId="0" applyFont="1" applyFill="1" applyBorder="1" applyAlignment="1">
      <alignment horizontal="center" vertical="center" wrapText="1"/>
    </xf>
    <xf numFmtId="0" fontId="8" fillId="10" borderId="113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top" wrapText="1"/>
    </xf>
    <xf numFmtId="0" fontId="9" fillId="6" borderId="0" xfId="0" applyFont="1" applyFill="1" applyAlignment="1">
      <alignment horizontal="center" vertical="top" wrapText="1"/>
    </xf>
    <xf numFmtId="0" fontId="9" fillId="6" borderId="20" xfId="0" applyFont="1" applyFill="1" applyBorder="1" applyAlignment="1">
      <alignment horizontal="center" vertical="top" wrapText="1"/>
    </xf>
    <xf numFmtId="0" fontId="9" fillId="6" borderId="19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center" vertical="top" wrapText="1"/>
    </xf>
    <xf numFmtId="0" fontId="9" fillId="6" borderId="63" xfId="0" applyFont="1" applyFill="1" applyBorder="1" applyAlignment="1">
      <alignment horizontal="center" vertical="top" wrapText="1"/>
    </xf>
    <xf numFmtId="0" fontId="9" fillId="6" borderId="162" xfId="0" applyFont="1" applyFill="1" applyBorder="1" applyAlignment="1">
      <alignment horizontal="center" vertical="top" wrapText="1"/>
    </xf>
    <xf numFmtId="0" fontId="9" fillId="6" borderId="163" xfId="0" applyFont="1" applyFill="1" applyBorder="1" applyAlignment="1">
      <alignment horizontal="center" vertical="top" wrapText="1"/>
    </xf>
    <xf numFmtId="0" fontId="0" fillId="17" borderId="19" xfId="0" applyFill="1" applyBorder="1" applyAlignment="1">
      <alignment horizontal="center" vertical="top" wrapText="1"/>
    </xf>
    <xf numFmtId="0" fontId="0" fillId="17" borderId="0" xfId="0" applyFill="1" applyAlignment="1">
      <alignment horizontal="center" vertical="top" wrapText="1"/>
    </xf>
    <xf numFmtId="0" fontId="0" fillId="17" borderId="6" xfId="0" applyFill="1" applyBorder="1" applyAlignment="1">
      <alignment horizontal="center" vertical="top" wrapText="1"/>
    </xf>
    <xf numFmtId="0" fontId="0" fillId="18" borderId="19" xfId="0" applyFill="1" applyBorder="1" applyAlignment="1">
      <alignment horizontal="center" vertical="top" wrapText="1"/>
    </xf>
    <xf numFmtId="0" fontId="0" fillId="18" borderId="0" xfId="0" applyFill="1" applyAlignment="1">
      <alignment horizontal="center" vertical="top" wrapText="1"/>
    </xf>
    <xf numFmtId="0" fontId="0" fillId="18" borderId="6" xfId="0" applyFill="1" applyBorder="1" applyAlignment="1">
      <alignment horizontal="center" vertical="top" wrapText="1"/>
    </xf>
    <xf numFmtId="0" fontId="0" fillId="17" borderId="20" xfId="0" applyFill="1" applyBorder="1" applyAlignment="1">
      <alignment horizontal="center" vertical="top" wrapText="1"/>
    </xf>
    <xf numFmtId="0" fontId="0" fillId="18" borderId="24" xfId="0" applyFill="1" applyBorder="1" applyAlignment="1">
      <alignment horizontal="center" vertical="top" wrapText="1"/>
    </xf>
    <xf numFmtId="0" fontId="0" fillId="18" borderId="20" xfId="0" applyFill="1" applyBorder="1" applyAlignment="1">
      <alignment horizontal="center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24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18" borderId="14" xfId="0" applyFill="1" applyBorder="1" applyAlignment="1">
      <alignment horizontal="center" vertical="top" wrapText="1"/>
    </xf>
    <xf numFmtId="0" fontId="0" fillId="18" borderId="23" xfId="0" applyFill="1" applyBorder="1" applyAlignment="1">
      <alignment horizontal="center" vertical="top" wrapText="1"/>
    </xf>
    <xf numFmtId="0" fontId="0" fillId="18" borderId="13" xfId="0" applyFill="1" applyBorder="1" applyAlignment="1">
      <alignment horizontal="center" vertical="top" wrapText="1"/>
    </xf>
    <xf numFmtId="0" fontId="0" fillId="17" borderId="24" xfId="0" applyFill="1" applyBorder="1" applyAlignment="1">
      <alignment horizontal="center" vertical="top" wrapText="1"/>
    </xf>
    <xf numFmtId="0" fontId="8" fillId="7" borderId="24" xfId="0" applyFont="1" applyFill="1" applyBorder="1" applyAlignment="1">
      <alignment horizontal="left" vertical="top" wrapText="1"/>
    </xf>
    <xf numFmtId="0" fontId="8" fillId="7" borderId="15" xfId="0" applyFont="1" applyFill="1" applyBorder="1" applyAlignment="1">
      <alignment horizontal="left" vertical="top" wrapText="1"/>
    </xf>
    <xf numFmtId="0" fontId="0" fillId="7" borderId="0" xfId="0" applyFill="1" applyAlignment="1">
      <alignment horizontal="left" vertical="top" wrapText="1"/>
    </xf>
    <xf numFmtId="0" fontId="0" fillId="7" borderId="26" xfId="0" applyFill="1" applyBorder="1" applyAlignment="1">
      <alignment horizontal="left" vertical="top" wrapText="1"/>
    </xf>
    <xf numFmtId="0" fontId="31" fillId="0" borderId="0" xfId="0" applyFont="1" applyAlignment="1">
      <alignment horizontal="center"/>
    </xf>
    <xf numFmtId="0" fontId="34" fillId="0" borderId="0" xfId="0" applyFont="1" applyAlignment="1">
      <alignment horizontal="left" vertical="top" wrapText="1"/>
    </xf>
    <xf numFmtId="0" fontId="28" fillId="0" borderId="26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27" fillId="11" borderId="28" xfId="0" applyFont="1" applyFill="1" applyBorder="1" applyAlignment="1">
      <alignment horizontal="left"/>
    </xf>
    <xf numFmtId="0" fontId="27" fillId="11" borderId="29" xfId="0" applyFont="1" applyFill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11" borderId="0" xfId="0" applyFont="1" applyFill="1" applyAlignment="1">
      <alignment horizontal="left"/>
    </xf>
    <xf numFmtId="0" fontId="27" fillId="10" borderId="28" xfId="0" applyFont="1" applyFill="1" applyBorder="1" applyAlignment="1">
      <alignment horizontal="left"/>
    </xf>
    <xf numFmtId="0" fontId="27" fillId="10" borderId="29" xfId="0" applyFont="1" applyFill="1" applyBorder="1" applyAlignment="1">
      <alignment horizontal="left"/>
    </xf>
    <xf numFmtId="0" fontId="27" fillId="10" borderId="0" xfId="0" applyFont="1" applyFill="1" applyAlignment="1">
      <alignment horizontal="left"/>
    </xf>
    <xf numFmtId="0" fontId="35" fillId="17" borderId="8" xfId="0" applyFont="1" applyFill="1" applyBorder="1" applyAlignment="1">
      <alignment horizontal="center" vertical="center" wrapText="1"/>
    </xf>
    <xf numFmtId="0" fontId="35" fillId="17" borderId="80" xfId="0" applyFont="1" applyFill="1" applyBorder="1" applyAlignment="1">
      <alignment horizontal="center" vertical="center" wrapText="1"/>
    </xf>
    <xf numFmtId="0" fontId="77" fillId="0" borderId="0" xfId="0" applyFont="1" applyAlignment="1">
      <alignment horizontal="left" vertical="top" wrapText="1"/>
    </xf>
    <xf numFmtId="0" fontId="35" fillId="17" borderId="9" xfId="0" applyFont="1" applyFill="1" applyBorder="1" applyAlignment="1">
      <alignment horizontal="center" vertical="center" wrapText="1"/>
    </xf>
    <xf numFmtId="0" fontId="73" fillId="34" borderId="0" xfId="0" applyFont="1" applyFill="1" applyAlignment="1">
      <alignment horizontal="center"/>
    </xf>
    <xf numFmtId="0" fontId="77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75" fillId="11" borderId="119" xfId="6" applyFont="1" applyFill="1" applyBorder="1" applyAlignment="1">
      <alignment horizontal="center"/>
    </xf>
    <xf numFmtId="0" fontId="75" fillId="11" borderId="59" xfId="6" applyFont="1" applyFill="1" applyBorder="1" applyAlignment="1">
      <alignment horizontal="center"/>
    </xf>
    <xf numFmtId="0" fontId="75" fillId="11" borderId="115" xfId="6" applyFont="1" applyFill="1" applyBorder="1" applyAlignment="1">
      <alignment horizontal="center"/>
    </xf>
    <xf numFmtId="0" fontId="74" fillId="27" borderId="75" xfId="0" applyFont="1" applyFill="1" applyBorder="1" applyAlignment="1">
      <alignment horizontal="center" vertical="center"/>
    </xf>
    <xf numFmtId="0" fontId="74" fillId="27" borderId="172" xfId="0" applyFont="1" applyFill="1" applyBorder="1" applyAlignment="1">
      <alignment horizontal="center" vertical="center"/>
    </xf>
    <xf numFmtId="171" fontId="74" fillId="0" borderId="61" xfId="0" applyNumberFormat="1" applyFont="1" applyBorder="1" applyAlignment="1">
      <alignment horizontal="center" vertical="center"/>
    </xf>
    <xf numFmtId="0" fontId="74" fillId="0" borderId="66" xfId="0" applyFont="1" applyBorder="1" applyAlignment="1">
      <alignment horizontal="center" vertical="center"/>
    </xf>
    <xf numFmtId="0" fontId="68" fillId="29" borderId="86" xfId="0" applyFont="1" applyFill="1" applyBorder="1" applyAlignment="1">
      <alignment vertical="top" wrapText="1"/>
    </xf>
    <xf numFmtId="0" fontId="0" fillId="0" borderId="114" xfId="0" applyBorder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88" fillId="0" borderId="0" xfId="0" applyFont="1" applyAlignment="1">
      <alignment horizontal="center"/>
    </xf>
    <xf numFmtId="0" fontId="53" fillId="35" borderId="26" xfId="0" applyFont="1" applyFill="1" applyBorder="1" applyAlignment="1">
      <alignment horizontal="center" vertical="center"/>
    </xf>
    <xf numFmtId="0" fontId="54" fillId="12" borderId="14" xfId="0" applyFont="1" applyFill="1" applyBorder="1" applyAlignment="1">
      <alignment horizontal="center" vertical="center" wrapText="1"/>
    </xf>
    <xf numFmtId="0" fontId="54" fillId="12" borderId="23" xfId="0" applyFont="1" applyFill="1" applyBorder="1" applyAlignment="1">
      <alignment horizontal="center" vertical="center" wrapText="1"/>
    </xf>
    <xf numFmtId="0" fontId="54" fillId="12" borderId="29" xfId="0" applyFont="1" applyFill="1" applyBorder="1" applyAlignment="1">
      <alignment horizontal="center" vertical="center" wrapText="1"/>
    </xf>
    <xf numFmtId="0" fontId="54" fillId="12" borderId="30" xfId="0" applyFont="1" applyFill="1" applyBorder="1" applyAlignment="1">
      <alignment horizontal="center" vertical="center" wrapText="1"/>
    </xf>
    <xf numFmtId="0" fontId="84" fillId="12" borderId="8" xfId="0" applyFont="1" applyFill="1" applyBorder="1" applyAlignment="1">
      <alignment horizontal="center" vertical="center" wrapText="1"/>
    </xf>
    <xf numFmtId="0" fontId="84" fillId="12" borderId="80" xfId="0" applyFont="1" applyFill="1" applyBorder="1" applyAlignment="1">
      <alignment horizontal="center" vertical="center" wrapText="1"/>
    </xf>
    <xf numFmtId="0" fontId="83" fillId="12" borderId="8" xfId="0" applyFont="1" applyFill="1" applyBorder="1" applyAlignment="1">
      <alignment horizontal="center" vertical="center" wrapText="1"/>
    </xf>
    <xf numFmtId="0" fontId="83" fillId="12" borderId="9" xfId="0" applyFont="1" applyFill="1" applyBorder="1" applyAlignment="1">
      <alignment horizontal="center" vertical="center" wrapText="1"/>
    </xf>
    <xf numFmtId="0" fontId="53" fillId="15" borderId="26" xfId="0" applyFont="1" applyFill="1" applyBorder="1" applyAlignment="1">
      <alignment horizontal="center" vertical="center"/>
    </xf>
    <xf numFmtId="0" fontId="54" fillId="12" borderId="13" xfId="0" applyFont="1" applyFill="1" applyBorder="1" applyAlignment="1">
      <alignment horizontal="center" vertical="center" wrapText="1"/>
    </xf>
    <xf numFmtId="0" fontId="54" fillId="12" borderId="28" xfId="0" applyFont="1" applyFill="1" applyBorder="1" applyAlignment="1">
      <alignment horizontal="center" vertical="center" wrapText="1"/>
    </xf>
    <xf numFmtId="0" fontId="1" fillId="26" borderId="8" xfId="0" applyFont="1" applyFill="1" applyBorder="1" applyAlignment="1">
      <alignment horizontal="center" vertical="top"/>
    </xf>
    <xf numFmtId="0" fontId="1" fillId="26" borderId="80" xfId="0" applyFont="1" applyFill="1" applyBorder="1" applyAlignment="1">
      <alignment horizontal="center" vertical="top"/>
    </xf>
    <xf numFmtId="0" fontId="5" fillId="26" borderId="8" xfId="0" applyFont="1" applyFill="1" applyBorder="1" applyAlignment="1">
      <alignment horizontal="left" vertical="top" wrapText="1"/>
    </xf>
    <xf numFmtId="0" fontId="5" fillId="26" borderId="80" xfId="0" applyFont="1" applyFill="1" applyBorder="1" applyAlignment="1">
      <alignment horizontal="left" vertical="top" wrapText="1"/>
    </xf>
    <xf numFmtId="0" fontId="1" fillId="26" borderId="8" xfId="0" applyFont="1" applyFill="1" applyBorder="1" applyAlignment="1">
      <alignment vertical="top" wrapText="1"/>
    </xf>
    <xf numFmtId="0" fontId="1" fillId="26" borderId="80" xfId="0" applyFont="1" applyFill="1" applyBorder="1" applyAlignment="1">
      <alignment vertical="top" wrapText="1"/>
    </xf>
    <xf numFmtId="2" fontId="3" fillId="5" borderId="91" xfId="3" applyNumberFormat="1" applyFont="1" applyBorder="1" applyAlignment="1">
      <alignment horizontal="right" vertical="top" wrapText="1"/>
    </xf>
    <xf numFmtId="2" fontId="3" fillId="5" borderId="92" xfId="3" applyNumberFormat="1" applyFont="1" applyBorder="1" applyAlignment="1">
      <alignment horizontal="right" vertical="top" wrapText="1"/>
    </xf>
    <xf numFmtId="0" fontId="5" fillId="26" borderId="7" xfId="0" applyFont="1" applyFill="1" applyBorder="1" applyAlignment="1">
      <alignment horizontal="left" vertical="top" wrapText="1"/>
    </xf>
    <xf numFmtId="0" fontId="5" fillId="26" borderId="4" xfId="0" applyFont="1" applyFill="1" applyBorder="1" applyAlignment="1">
      <alignment horizontal="left" vertical="top" wrapText="1"/>
    </xf>
    <xf numFmtId="167" fontId="50" fillId="3" borderId="8" xfId="4" applyNumberFormat="1" applyFont="1" applyFill="1" applyBorder="1" applyAlignment="1">
      <alignment horizontal="right" vertical="top" wrapText="1"/>
    </xf>
    <xf numFmtId="167" fontId="50" fillId="3" borderId="9" xfId="4" applyNumberFormat="1" applyFont="1" applyFill="1" applyBorder="1" applyAlignment="1">
      <alignment horizontal="right" vertical="top" wrapText="1"/>
    </xf>
    <xf numFmtId="167" fontId="50" fillId="3" borderId="8" xfId="4" applyNumberFormat="1" applyFont="1" applyFill="1" applyBorder="1" applyAlignment="1">
      <alignment vertical="top" wrapText="1"/>
    </xf>
    <xf numFmtId="167" fontId="50" fillId="3" borderId="9" xfId="4" applyNumberFormat="1" applyFont="1" applyFill="1" applyBorder="1" applyAlignment="1">
      <alignment vertical="top" wrapText="1"/>
    </xf>
    <xf numFmtId="0" fontId="5" fillId="26" borderId="14" xfId="0" applyFont="1" applyFill="1" applyBorder="1" applyAlignment="1">
      <alignment horizontal="left" vertical="top" wrapText="1"/>
    </xf>
    <xf numFmtId="0" fontId="5" fillId="26" borderId="15" xfId="0" applyFont="1" applyFill="1" applyBorder="1" applyAlignment="1">
      <alignment horizontal="left" vertical="top" wrapText="1"/>
    </xf>
    <xf numFmtId="2" fontId="50" fillId="3" borderId="8" xfId="4" applyNumberFormat="1" applyFont="1" applyFill="1" applyBorder="1" applyAlignment="1">
      <alignment vertical="top" wrapText="1"/>
    </xf>
    <xf numFmtId="2" fontId="50" fillId="3" borderId="9" xfId="4" applyNumberFormat="1" applyFont="1" applyFill="1" applyBorder="1" applyAlignment="1">
      <alignment vertical="top" wrapText="1"/>
    </xf>
    <xf numFmtId="0" fontId="1" fillId="26" borderId="9" xfId="0" applyFont="1" applyFill="1" applyBorder="1" applyAlignment="1">
      <alignment vertical="top" wrapText="1"/>
    </xf>
    <xf numFmtId="0" fontId="5" fillId="26" borderId="11" xfId="0" applyFont="1" applyFill="1" applyBorder="1" applyAlignment="1">
      <alignment horizontal="left" vertical="top" wrapText="1"/>
    </xf>
    <xf numFmtId="0" fontId="5" fillId="26" borderId="12" xfId="0" applyFont="1" applyFill="1" applyBorder="1" applyAlignment="1">
      <alignment horizontal="left" vertical="top" wrapText="1"/>
    </xf>
    <xf numFmtId="0" fontId="5" fillId="26" borderId="8" xfId="0" applyFont="1" applyFill="1" applyBorder="1" applyAlignment="1">
      <alignment horizontal="center" vertical="top" wrapText="1"/>
    </xf>
    <xf numFmtId="0" fontId="5" fillId="26" borderId="9" xfId="0" applyFont="1" applyFill="1" applyBorder="1" applyAlignment="1">
      <alignment horizontal="center" vertical="top" wrapText="1"/>
    </xf>
    <xf numFmtId="0" fontId="1" fillId="26" borderId="13" xfId="0" applyFont="1" applyFill="1" applyBorder="1" applyAlignment="1">
      <alignment horizontal="center" vertical="top"/>
    </xf>
    <xf numFmtId="0" fontId="1" fillId="26" borderId="5" xfId="0" applyFont="1" applyFill="1" applyBorder="1" applyAlignment="1">
      <alignment horizontal="center" vertical="top"/>
    </xf>
    <xf numFmtId="0" fontId="0" fillId="17" borderId="14" xfId="0" applyFill="1" applyBorder="1" applyAlignment="1">
      <alignment horizontal="center" vertical="center"/>
    </xf>
    <xf numFmtId="0" fontId="0" fillId="17" borderId="23" xfId="0" applyFill="1" applyBorder="1" applyAlignment="1">
      <alignment horizontal="center" vertical="center"/>
    </xf>
    <xf numFmtId="0" fontId="0" fillId="17" borderId="35" xfId="0" applyFill="1" applyBorder="1" applyAlignment="1">
      <alignment horizontal="center" vertical="center"/>
    </xf>
    <xf numFmtId="0" fontId="0" fillId="17" borderId="24" xfId="0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7" borderId="20" xfId="0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6" xfId="0" applyBorder="1" applyAlignment="1">
      <alignment horizontal="center" vertical="top"/>
    </xf>
    <xf numFmtId="0" fontId="8" fillId="0" borderId="14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63" fillId="22" borderId="14" xfId="0" applyFont="1" applyFill="1" applyBorder="1" applyAlignment="1">
      <alignment horizontal="center"/>
    </xf>
    <xf numFmtId="0" fontId="63" fillId="22" borderId="23" xfId="0" applyFont="1" applyFill="1" applyBorder="1" applyAlignment="1">
      <alignment horizontal="center"/>
    </xf>
  </cellXfs>
  <cellStyles count="10">
    <cellStyle name="Calculation" xfId="2" builtinId="22"/>
    <cellStyle name="Comma" xfId="5" builtinId="3"/>
    <cellStyle name="Currency" xfId="7" builtinId="4"/>
    <cellStyle name="Čiarka 2" xfId="8" xr:uid="{00000000-0005-0000-0000-000031000000}"/>
    <cellStyle name="Good" xfId="1" builtinId="26"/>
    <cellStyle name="Hyperlink" xfId="6" builtinId="8"/>
    <cellStyle name="Mena 2" xfId="9" xr:uid="{00000000-0005-0000-0000-000032000000}"/>
    <cellStyle name="Normal" xfId="0" builtinId="0"/>
    <cellStyle name="Note" xfId="3" builtinId="10"/>
    <cellStyle name="Percent" xfId="4" builtinId="5"/>
  </cellStyles>
  <dxfs count="1"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19</xdr:col>
      <xdr:colOff>670</xdr:colOff>
      <xdr:row>32</xdr:row>
      <xdr:rowOff>70482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B1159C88-516F-4E83-A70E-79C7996F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1329"/>
          <a:ext cx="12128796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13448</xdr:colOff>
      <xdr:row>46</xdr:row>
      <xdr:rowOff>107577</xdr:rowOff>
    </xdr:from>
    <xdr:to>
      <xdr:col>15</xdr:col>
      <xdr:colOff>259360</xdr:colOff>
      <xdr:row>75</xdr:row>
      <xdr:rowOff>178060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A02A6478-EADD-4109-802F-1616F701B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8" y="6723530"/>
          <a:ext cx="9860559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91</xdr:row>
      <xdr:rowOff>98612</xdr:rowOff>
    </xdr:from>
    <xdr:to>
      <xdr:col>25</xdr:col>
      <xdr:colOff>575</xdr:colOff>
      <xdr:row>120</xdr:row>
      <xdr:rowOff>169095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A994E47-D7FD-4765-8239-4E99AA0D1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" y="14065624"/>
          <a:ext cx="16022183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19</xdr:col>
      <xdr:colOff>564304</xdr:colOff>
      <xdr:row>179</xdr:row>
      <xdr:rowOff>21421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F5ACDA17-3C82-4125-A112-0B3D2B34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745200"/>
          <a:ext cx="12742857" cy="7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26</xdr:col>
      <xdr:colOff>505520</xdr:colOff>
      <xdr:row>212</xdr:row>
      <xdr:rowOff>70482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D05D6E07-3E4C-4C18-A74A-412E80A40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382694"/>
          <a:ext cx="17170908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183751</xdr:rowOff>
    </xdr:from>
    <xdr:to>
      <xdr:col>26</xdr:col>
      <xdr:colOff>506612</xdr:colOff>
      <xdr:row>281</xdr:row>
      <xdr:rowOff>60813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F5DBAE98-960D-42F5-96E1-C234BC6B1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447292"/>
          <a:ext cx="17172000" cy="98009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284</xdr:row>
      <xdr:rowOff>183775</xdr:rowOff>
    </xdr:from>
    <xdr:to>
      <xdr:col>26</xdr:col>
      <xdr:colOff>506612</xdr:colOff>
      <xdr:row>329</xdr:row>
      <xdr:rowOff>74688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B70907C2-ED12-4489-8350-C25442643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3922575"/>
          <a:ext cx="17172000" cy="8160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26</xdr:col>
      <xdr:colOff>239374</xdr:colOff>
      <xdr:row>377</xdr:row>
      <xdr:rowOff>47169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4BCE5D69-9B56-461E-98AB-3CEB21176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743847"/>
          <a:ext cx="16904762" cy="8133333"/>
        </a:xfrm>
        <a:prstGeom prst="rect">
          <a:avLst/>
        </a:prstGeom>
      </xdr:spPr>
    </xdr:pic>
    <xdr:clientData/>
  </xdr:twoCellAnchor>
  <xdr:twoCellAnchor editAs="oneCell">
    <xdr:from>
      <xdr:col>26</xdr:col>
      <xdr:colOff>237565</xdr:colOff>
      <xdr:row>333</xdr:row>
      <xdr:rowOff>13447</xdr:rowOff>
    </xdr:from>
    <xdr:to>
      <xdr:col>51</xdr:col>
      <xdr:colOff>565534</xdr:colOff>
      <xdr:row>377</xdr:row>
      <xdr:rowOff>12997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3799F411-AEFF-44F8-9D2F-D48C0025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02953" y="52757294"/>
          <a:ext cx="16352381" cy="8085714"/>
        </a:xfrm>
        <a:prstGeom prst="rect">
          <a:avLst/>
        </a:prstGeom>
      </xdr:spPr>
    </xdr:pic>
    <xdr:clientData/>
  </xdr:twoCellAnchor>
  <xdr:twoCellAnchor editAs="oneCell">
    <xdr:from>
      <xdr:col>19</xdr:col>
      <xdr:colOff>555812</xdr:colOff>
      <xdr:row>2</xdr:row>
      <xdr:rowOff>22412</xdr:rowOff>
    </xdr:from>
    <xdr:to>
      <xdr:col>40</xdr:col>
      <xdr:colOff>200068</xdr:colOff>
      <xdr:row>44</xdr:row>
      <xdr:rowOff>151419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DE960143-E4CE-4481-B9B3-B30B7A15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34365" y="389965"/>
          <a:ext cx="13104762" cy="7847619"/>
        </a:xfrm>
        <a:prstGeom prst="rect">
          <a:avLst/>
        </a:prstGeom>
      </xdr:spPr>
    </xdr:pic>
    <xdr:clientData/>
  </xdr:twoCellAnchor>
  <xdr:twoCellAnchor editAs="oneCell">
    <xdr:from>
      <xdr:col>19</xdr:col>
      <xdr:colOff>596152</xdr:colOff>
      <xdr:row>46</xdr:row>
      <xdr:rowOff>17929</xdr:rowOff>
    </xdr:from>
    <xdr:to>
      <xdr:col>39</xdr:col>
      <xdr:colOff>586141</xdr:colOff>
      <xdr:row>86</xdr:row>
      <xdr:rowOff>104966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F7AB18AC-A024-493E-9299-70B142CB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74705" y="8471647"/>
          <a:ext cx="12857143" cy="743809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92</xdr:row>
      <xdr:rowOff>0</xdr:rowOff>
    </xdr:from>
    <xdr:to>
      <xdr:col>48</xdr:col>
      <xdr:colOff>146136</xdr:colOff>
      <xdr:row>133</xdr:row>
      <xdr:rowOff>27069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id="{15882302-9205-4962-8270-3A18F065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665388" y="16907435"/>
          <a:ext cx="14247619" cy="7561905"/>
        </a:xfrm>
        <a:prstGeom prst="rect">
          <a:avLst/>
        </a:prstGeom>
      </xdr:spPr>
    </xdr:pic>
    <xdr:clientData/>
  </xdr:twoCellAnchor>
  <xdr:twoCellAnchor editAs="oneCell">
    <xdr:from>
      <xdr:col>19</xdr:col>
      <xdr:colOff>640969</xdr:colOff>
      <xdr:row>136</xdr:row>
      <xdr:rowOff>0</xdr:rowOff>
    </xdr:from>
    <xdr:to>
      <xdr:col>38</xdr:col>
      <xdr:colOff>269732</xdr:colOff>
      <xdr:row>179</xdr:row>
      <xdr:rowOff>53612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94B351C9-6F93-409B-834B-A5BA7F8D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819522" y="24993600"/>
          <a:ext cx="11807316" cy="795600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183</xdr:row>
      <xdr:rowOff>0</xdr:rowOff>
    </xdr:from>
    <xdr:to>
      <xdr:col>49</xdr:col>
      <xdr:colOff>60423</xdr:colOff>
      <xdr:row>225</xdr:row>
      <xdr:rowOff>62340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A5CB1057-45CB-4770-AED6-B8D6F237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06365" y="33631094"/>
          <a:ext cx="14161905" cy="77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640965</xdr:colOff>
      <xdr:row>227</xdr:row>
      <xdr:rowOff>183775</xdr:rowOff>
    </xdr:from>
    <xdr:to>
      <xdr:col>47</xdr:col>
      <xdr:colOff>381164</xdr:colOff>
      <xdr:row>280</xdr:row>
      <xdr:rowOff>127622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D290DF1F-829A-48A3-8851-D1D80EBF8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06353" y="41901034"/>
          <a:ext cx="13200705" cy="9684000"/>
        </a:xfrm>
        <a:prstGeom prst="rect">
          <a:avLst/>
        </a:prstGeom>
      </xdr:spPr>
    </xdr:pic>
    <xdr:clientData/>
  </xdr:twoCellAnchor>
  <xdr:twoCellAnchor editAs="oneCell">
    <xdr:from>
      <xdr:col>26</xdr:col>
      <xdr:colOff>640968</xdr:colOff>
      <xdr:row>285</xdr:row>
      <xdr:rowOff>0</xdr:rowOff>
    </xdr:from>
    <xdr:to>
      <xdr:col>54</xdr:col>
      <xdr:colOff>137503</xdr:colOff>
      <xdr:row>329</xdr:row>
      <xdr:rowOff>85835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8E45F562-AC9F-4D9D-A751-BAF524963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06356" y="52376294"/>
          <a:ext cx="17443876" cy="8172000"/>
        </a:xfrm>
        <a:prstGeom prst="rect">
          <a:avLst/>
        </a:prstGeom>
      </xdr:spPr>
    </xdr:pic>
    <xdr:clientData/>
  </xdr:twoCellAnchor>
  <xdr:twoCellAnchor editAs="oneCell">
    <xdr:from>
      <xdr:col>53</xdr:col>
      <xdr:colOff>0</xdr:colOff>
      <xdr:row>333</xdr:row>
      <xdr:rowOff>0</xdr:rowOff>
    </xdr:from>
    <xdr:to>
      <xdr:col>78</xdr:col>
      <xdr:colOff>23207</xdr:colOff>
      <xdr:row>379</xdr:row>
      <xdr:rowOff>165331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255A72D6-327C-45EA-A623-265822F0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971753" y="61197565"/>
          <a:ext cx="16047619" cy="8619048"/>
        </a:xfrm>
        <a:prstGeom prst="rect">
          <a:avLst/>
        </a:prstGeom>
      </xdr:spPr>
    </xdr:pic>
    <xdr:clientData/>
  </xdr:twoCellAnchor>
  <xdr:twoCellAnchor editAs="oneCell">
    <xdr:from>
      <xdr:col>78</xdr:col>
      <xdr:colOff>8981</xdr:colOff>
      <xdr:row>333</xdr:row>
      <xdr:rowOff>0</xdr:rowOff>
    </xdr:from>
    <xdr:to>
      <xdr:col>102</xdr:col>
      <xdr:colOff>3674</xdr:colOff>
      <xdr:row>379</xdr:row>
      <xdr:rowOff>165331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933A6AD3-1906-444C-BB09-03CFD3835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383"/>
        <a:stretch/>
      </xdr:blipFill>
      <xdr:spPr>
        <a:xfrm>
          <a:off x="50005146" y="61197565"/>
          <a:ext cx="15346752" cy="8619048"/>
        </a:xfrm>
        <a:prstGeom prst="rect">
          <a:avLst/>
        </a:prstGeom>
      </xdr:spPr>
    </xdr:pic>
    <xdr:clientData/>
  </xdr:twoCellAnchor>
  <xdr:twoCellAnchor editAs="oneCell">
    <xdr:from>
      <xdr:col>101</xdr:col>
      <xdr:colOff>632012</xdr:colOff>
      <xdr:row>333</xdr:row>
      <xdr:rowOff>8964</xdr:rowOff>
    </xdr:from>
    <xdr:to>
      <xdr:col>114</xdr:col>
      <xdr:colOff>489794</xdr:colOff>
      <xdr:row>379</xdr:row>
      <xdr:rowOff>155247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F244CE05-316C-4C97-BD83-6E681D14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370636" y="61206529"/>
          <a:ext cx="8190476" cy="8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56</xdr:col>
      <xdr:colOff>105318</xdr:colOff>
      <xdr:row>423</xdr:row>
      <xdr:rowOff>65018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CD481EEC-E56F-4591-B485-7C2C66E33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18835"/>
          <a:ext cx="36000000" cy="7416077"/>
        </a:xfrm>
        <a:prstGeom prst="rect">
          <a:avLst/>
        </a:prstGeom>
      </xdr:spPr>
    </xdr:pic>
    <xdr:clientData/>
  </xdr:twoCellAnchor>
  <xdr:twoCellAnchor editAs="oneCell">
    <xdr:from>
      <xdr:col>57</xdr:col>
      <xdr:colOff>0</xdr:colOff>
      <xdr:row>383</xdr:row>
      <xdr:rowOff>0</xdr:rowOff>
    </xdr:from>
    <xdr:to>
      <xdr:col>126</xdr:col>
      <xdr:colOff>586055</xdr:colOff>
      <xdr:row>441</xdr:row>
      <xdr:rowOff>140964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6DF3036F-7EAC-485F-897A-9DC56F962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5659" y="70386388"/>
          <a:ext cx="44813431" cy="10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inedu.sk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s://access.redhat.com/documentation/en-us/reference_architectures/2017/html-single/business_process_management_with_red_hat_jboss_bpm_suite_6.3/index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metais.vicepremier.gov.sk/studia/detail/7be277e0-6a0a-0cfd-6d49-538d7f01feb0?tab=documents" TargetMode="External"/><Relationship Id="rId4" Type="http://schemas.openxmlformats.org/officeDocument/2006/relationships/comments" Target="../comments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rz.gov.sk/index.php?ID=1885367&amp;l=sk" TargetMode="External"/><Relationship Id="rId2" Type="http://schemas.openxmlformats.org/officeDocument/2006/relationships/hyperlink" Target="http://www.crz.gov.sk/index.php?ID=2232472&amp;l=sk" TargetMode="External"/><Relationship Id="rId1" Type="http://schemas.openxmlformats.org/officeDocument/2006/relationships/hyperlink" Target="http://www.crz.gov.sk/index.php?ID=3023431&amp;l=sk" TargetMode="External"/><Relationship Id="rId6" Type="http://schemas.openxmlformats.org/officeDocument/2006/relationships/hyperlink" Target="http://www.crz.gov.sk/index.php?ID=1349735&amp;l=sk" TargetMode="External"/><Relationship Id="rId5" Type="http://schemas.openxmlformats.org/officeDocument/2006/relationships/hyperlink" Target="http://www.crz.gov.sk/index.php?ID=1883192&amp;l=sk" TargetMode="External"/><Relationship Id="rId4" Type="http://schemas.openxmlformats.org/officeDocument/2006/relationships/hyperlink" Target="http://www.crz.gov.sk/index.php?ID=2179714&amp;l=sk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R46"/>
  <sheetViews>
    <sheetView zoomScaleNormal="100" workbookViewId="0">
      <selection activeCell="C26" sqref="C26:I26"/>
    </sheetView>
  </sheetViews>
  <sheetFormatPr baseColWidth="10" defaultColWidth="8.83203125" defaultRowHeight="15"/>
  <cols>
    <col min="2" max="2" width="11.6640625" customWidth="1"/>
    <col min="4" max="4" width="6.5" customWidth="1"/>
    <col min="6" max="6" width="7.6640625" customWidth="1"/>
    <col min="7" max="7" width="12.33203125" customWidth="1"/>
    <col min="8" max="8" width="6" customWidth="1"/>
    <col min="9" max="9" width="14.33203125" customWidth="1"/>
  </cols>
  <sheetData>
    <row r="1" spans="1:18">
      <c r="A1" s="35"/>
      <c r="B1" s="35"/>
      <c r="C1" s="35"/>
      <c r="D1" s="35"/>
      <c r="E1" s="35"/>
      <c r="F1" s="35"/>
      <c r="G1" s="35"/>
      <c r="H1" s="35"/>
      <c r="I1" s="35"/>
      <c r="J1" s="315"/>
      <c r="K1" s="316"/>
      <c r="L1" s="316"/>
      <c r="M1" s="316"/>
      <c r="N1" s="316"/>
      <c r="O1" s="316"/>
      <c r="P1" s="316"/>
      <c r="Q1" s="316"/>
      <c r="R1" s="316"/>
    </row>
    <row r="2" spans="1:18">
      <c r="A2" s="35"/>
      <c r="B2" s="35"/>
      <c r="C2" s="35"/>
      <c r="D2" s="35"/>
      <c r="E2" s="35"/>
      <c r="F2" s="35"/>
      <c r="G2" s="35"/>
      <c r="H2" s="35"/>
      <c r="I2" s="35"/>
      <c r="J2" s="316"/>
      <c r="K2" s="316"/>
      <c r="L2" s="316"/>
      <c r="M2" s="316"/>
      <c r="N2" s="316"/>
      <c r="O2" s="316"/>
      <c r="P2" s="316"/>
      <c r="Q2" s="316"/>
      <c r="R2" s="316"/>
    </row>
    <row r="3" spans="1:18" ht="15" customHeight="1">
      <c r="A3" s="35"/>
      <c r="B3" s="35"/>
      <c r="C3" s="35"/>
      <c r="D3" s="35"/>
      <c r="E3" s="35"/>
      <c r="F3" s="35"/>
      <c r="G3" s="35"/>
      <c r="H3" s="35"/>
      <c r="I3" s="35"/>
      <c r="J3" s="316"/>
      <c r="K3" s="316"/>
      <c r="L3" s="316"/>
      <c r="M3" s="316"/>
      <c r="N3" s="316"/>
      <c r="O3" s="316"/>
      <c r="P3" s="316"/>
      <c r="Q3" s="316"/>
      <c r="R3" s="316"/>
    </row>
    <row r="4" spans="1:18" ht="15" customHeight="1">
      <c r="A4" s="35"/>
      <c r="B4" s="35"/>
      <c r="C4" s="35"/>
      <c r="D4" s="35"/>
      <c r="E4" s="35"/>
      <c r="F4" s="35"/>
      <c r="G4" s="35"/>
      <c r="H4" s="35"/>
      <c r="I4" s="35"/>
      <c r="J4" s="316"/>
      <c r="K4" s="316"/>
      <c r="L4" s="316"/>
      <c r="M4" s="316"/>
      <c r="N4" s="316"/>
      <c r="O4" s="316"/>
      <c r="P4" s="316"/>
      <c r="Q4" s="316"/>
      <c r="R4" s="316"/>
    </row>
    <row r="5" spans="1:18">
      <c r="A5" s="35"/>
      <c r="B5" s="35"/>
      <c r="C5" s="35"/>
      <c r="D5" s="35"/>
      <c r="E5" s="35"/>
      <c r="F5" s="35"/>
      <c r="G5" s="35"/>
      <c r="H5" s="35"/>
      <c r="I5" s="35"/>
      <c r="J5" s="316"/>
      <c r="K5" s="316"/>
      <c r="L5" s="316"/>
      <c r="M5" s="316"/>
      <c r="N5" s="316"/>
      <c r="O5" s="316"/>
      <c r="P5" s="316"/>
      <c r="Q5" s="316"/>
      <c r="R5" s="316"/>
    </row>
    <row r="6" spans="1:18" ht="62" customHeight="1">
      <c r="A6" s="748" t="s">
        <v>0</v>
      </c>
      <c r="B6" s="748"/>
      <c r="C6" s="748"/>
      <c r="D6" s="748"/>
      <c r="E6" s="748"/>
      <c r="F6" s="748"/>
      <c r="G6" s="748"/>
      <c r="H6" s="748"/>
      <c r="I6" s="748"/>
      <c r="J6" s="316"/>
      <c r="K6" s="316"/>
      <c r="L6" s="316"/>
      <c r="M6" s="316"/>
      <c r="N6" s="316"/>
      <c r="O6" s="316"/>
      <c r="P6" s="316"/>
      <c r="Q6" s="316"/>
      <c r="R6" s="316"/>
    </row>
    <row r="7" spans="1:18" ht="18.75" customHeight="1">
      <c r="A7" s="728" t="s">
        <v>1</v>
      </c>
      <c r="B7" s="728"/>
      <c r="C7" s="728"/>
      <c r="D7" s="728"/>
      <c r="E7" s="728"/>
      <c r="F7" s="728"/>
      <c r="G7" s="728"/>
      <c r="H7" s="728"/>
      <c r="I7" s="728"/>
      <c r="J7" s="316"/>
      <c r="K7" s="316"/>
      <c r="L7" s="316"/>
      <c r="M7" s="316"/>
      <c r="N7" s="316"/>
      <c r="O7" s="316"/>
      <c r="P7" s="316"/>
      <c r="Q7" s="316"/>
      <c r="R7" s="316"/>
    </row>
    <row r="8" spans="1:18">
      <c r="A8" s="749" t="s">
        <v>2</v>
      </c>
      <c r="B8" s="749"/>
      <c r="C8" s="749"/>
      <c r="D8" s="749"/>
      <c r="E8" s="749"/>
      <c r="F8" s="749"/>
      <c r="G8" s="749"/>
      <c r="H8" s="749"/>
      <c r="I8" s="749"/>
      <c r="J8" s="316"/>
      <c r="K8" s="316"/>
      <c r="L8" s="316"/>
      <c r="M8" s="316"/>
      <c r="N8" s="316"/>
      <c r="O8" s="316"/>
      <c r="P8" s="316"/>
      <c r="Q8" s="316"/>
      <c r="R8" s="316"/>
    </row>
    <row r="9" spans="1:18" ht="15" customHeight="1">
      <c r="A9" s="749"/>
      <c r="B9" s="749"/>
      <c r="C9" s="749"/>
      <c r="D9" s="749"/>
      <c r="E9" s="749"/>
      <c r="F9" s="749"/>
      <c r="G9" s="749"/>
      <c r="H9" s="749"/>
      <c r="I9" s="749"/>
      <c r="J9" s="316"/>
      <c r="K9" s="316"/>
      <c r="L9" s="316"/>
      <c r="M9" s="316"/>
      <c r="N9" s="316"/>
      <c r="O9" s="316"/>
      <c r="P9" s="316"/>
      <c r="Q9" s="316"/>
      <c r="R9" s="316"/>
    </row>
    <row r="10" spans="1:18" ht="48.5" customHeight="1">
      <c r="A10" s="749"/>
      <c r="B10" s="749"/>
      <c r="C10" s="749"/>
      <c r="D10" s="749"/>
      <c r="E10" s="749"/>
      <c r="F10" s="749"/>
      <c r="G10" s="749"/>
      <c r="H10" s="749"/>
      <c r="I10" s="749"/>
      <c r="J10" s="316"/>
      <c r="K10" s="316"/>
      <c r="L10" s="316"/>
      <c r="M10" s="316"/>
      <c r="N10" s="316"/>
      <c r="O10" s="316"/>
      <c r="P10" s="316"/>
      <c r="Q10" s="316"/>
      <c r="R10" s="316"/>
    </row>
    <row r="11" spans="1:18" ht="15" customHeight="1">
      <c r="A11" s="35"/>
      <c r="B11" s="35"/>
      <c r="C11" s="35"/>
      <c r="D11" s="35"/>
      <c r="E11" s="35"/>
      <c r="F11" s="35"/>
      <c r="G11" s="35"/>
      <c r="H11" s="35"/>
      <c r="I11" s="35"/>
      <c r="J11" s="316"/>
      <c r="K11" s="316"/>
      <c r="L11" s="316"/>
      <c r="M11" s="316"/>
      <c r="N11" s="316"/>
      <c r="O11" s="316"/>
      <c r="P11" s="316"/>
      <c r="Q11" s="316"/>
      <c r="R11" s="316"/>
    </row>
    <row r="12" spans="1:18">
      <c r="A12" s="35"/>
      <c r="B12" s="35"/>
      <c r="C12" s="35"/>
      <c r="D12" s="35"/>
      <c r="E12" s="35"/>
      <c r="F12" s="35"/>
      <c r="G12" s="35"/>
      <c r="H12" s="35"/>
      <c r="I12" s="35"/>
      <c r="J12" s="316"/>
      <c r="K12" s="316"/>
      <c r="L12" s="316"/>
      <c r="M12" s="316"/>
      <c r="N12" s="316"/>
      <c r="O12" s="316"/>
      <c r="P12" s="316"/>
      <c r="Q12" s="316"/>
      <c r="R12" s="316"/>
    </row>
    <row r="13" spans="1:18">
      <c r="A13" s="35"/>
      <c r="B13" s="35"/>
      <c r="C13" s="35"/>
      <c r="D13" s="35"/>
      <c r="E13" s="35"/>
      <c r="F13" s="35"/>
      <c r="G13" s="35"/>
      <c r="H13" s="35"/>
      <c r="I13" s="35"/>
      <c r="J13" s="316"/>
      <c r="K13" s="316"/>
      <c r="L13" s="316"/>
      <c r="M13" s="316"/>
      <c r="N13" s="316"/>
      <c r="O13" s="316"/>
      <c r="P13" s="316"/>
      <c r="Q13" s="316"/>
      <c r="R13" s="316"/>
    </row>
    <row r="14" spans="1:18">
      <c r="A14" s="35"/>
      <c r="B14" s="35"/>
      <c r="C14" s="35"/>
      <c r="D14" s="35"/>
      <c r="E14" s="35"/>
      <c r="F14" s="35"/>
      <c r="G14" s="35"/>
      <c r="H14" s="35"/>
      <c r="I14" s="35"/>
      <c r="J14" s="316"/>
      <c r="K14" s="316"/>
      <c r="L14" s="316"/>
      <c r="M14" s="316"/>
      <c r="N14" s="316"/>
      <c r="O14" s="316"/>
      <c r="P14" s="316"/>
      <c r="Q14" s="316"/>
      <c r="R14" s="316"/>
    </row>
    <row r="15" spans="1:18">
      <c r="A15" s="35"/>
      <c r="B15" s="35"/>
      <c r="C15" s="35"/>
      <c r="D15" s="35"/>
      <c r="E15" s="35"/>
      <c r="F15" s="35"/>
      <c r="G15" s="35"/>
      <c r="H15" s="35"/>
      <c r="I15" s="35"/>
      <c r="J15" s="316"/>
      <c r="K15" s="316"/>
      <c r="L15" s="316"/>
      <c r="M15" s="316"/>
      <c r="N15" s="316"/>
      <c r="O15" s="316"/>
      <c r="P15" s="316"/>
      <c r="Q15" s="316"/>
      <c r="R15" s="316"/>
    </row>
    <row r="16" spans="1:18">
      <c r="B16" s="35"/>
      <c r="C16" s="35"/>
      <c r="D16" s="35"/>
      <c r="E16" s="35"/>
      <c r="F16" s="35"/>
      <c r="G16" s="35"/>
      <c r="H16" s="35"/>
      <c r="I16" s="35"/>
      <c r="J16" s="316"/>
      <c r="K16" s="316"/>
      <c r="L16" s="316"/>
      <c r="M16" s="316"/>
      <c r="N16" s="316"/>
      <c r="O16" s="316"/>
      <c r="P16" s="316"/>
      <c r="Q16" s="316"/>
      <c r="R16" s="316"/>
    </row>
    <row r="17" spans="1:18">
      <c r="B17" s="35"/>
      <c r="C17" s="35"/>
      <c r="D17" s="35"/>
      <c r="E17" s="35"/>
      <c r="F17" s="35"/>
      <c r="G17" s="35"/>
      <c r="H17" s="35"/>
      <c r="I17" s="35"/>
      <c r="J17" s="316"/>
      <c r="K17" s="316"/>
      <c r="L17" s="316"/>
      <c r="M17" s="316"/>
      <c r="N17" s="316"/>
      <c r="O17" s="316"/>
      <c r="P17" s="316"/>
      <c r="Q17" s="316"/>
      <c r="R17" s="316"/>
    </row>
    <row r="18" spans="1:18" ht="16" thickBot="1">
      <c r="B18" s="35"/>
      <c r="C18" s="35"/>
      <c r="D18" s="35"/>
      <c r="E18" s="35"/>
      <c r="F18" s="35"/>
      <c r="G18" s="35"/>
      <c r="H18" s="35"/>
      <c r="I18" s="35"/>
      <c r="J18" s="316"/>
      <c r="K18" s="316"/>
      <c r="L18" s="316"/>
      <c r="M18" s="316"/>
      <c r="N18" s="316"/>
      <c r="O18" s="316"/>
      <c r="P18" s="316"/>
      <c r="Q18" s="316"/>
      <c r="R18" s="316"/>
    </row>
    <row r="19" spans="1:18">
      <c r="A19" s="750" t="s">
        <v>3</v>
      </c>
      <c r="B19" s="751"/>
      <c r="C19" s="752" t="s">
        <v>4</v>
      </c>
      <c r="D19" s="752"/>
      <c r="E19" s="752"/>
      <c r="F19" s="752"/>
      <c r="G19" s="752"/>
      <c r="H19" s="752"/>
      <c r="I19" s="753"/>
      <c r="J19" s="316"/>
      <c r="K19" s="316"/>
      <c r="L19" s="316"/>
      <c r="M19" s="316"/>
      <c r="N19" s="316"/>
      <c r="O19" s="316"/>
      <c r="P19" s="316"/>
      <c r="Q19" s="316"/>
      <c r="R19" s="316"/>
    </row>
    <row r="20" spans="1:18">
      <c r="A20" s="729" t="s">
        <v>5</v>
      </c>
      <c r="B20" s="730"/>
      <c r="C20" s="745"/>
      <c r="D20" s="745"/>
      <c r="E20" s="745"/>
      <c r="F20" s="745"/>
      <c r="G20" s="745"/>
      <c r="H20" s="745"/>
      <c r="I20" s="746"/>
      <c r="J20" s="316"/>
      <c r="K20" s="316"/>
      <c r="L20" s="316"/>
      <c r="M20" s="316"/>
      <c r="N20" s="316"/>
      <c r="O20" s="316"/>
      <c r="P20" s="316"/>
      <c r="Q20" s="316"/>
      <c r="R20" s="316"/>
    </row>
    <row r="21" spans="1:18">
      <c r="A21" s="729" t="s">
        <v>6</v>
      </c>
      <c r="B21" s="730"/>
      <c r="C21" s="745"/>
      <c r="D21" s="745"/>
      <c r="E21" s="745"/>
      <c r="F21" s="745"/>
      <c r="G21" s="745"/>
      <c r="H21" s="745"/>
      <c r="I21" s="746"/>
      <c r="J21" s="316"/>
      <c r="K21" s="316"/>
      <c r="L21" s="316"/>
      <c r="M21" s="316"/>
      <c r="N21" s="316"/>
      <c r="O21" s="316"/>
      <c r="P21" s="316"/>
      <c r="Q21" s="316"/>
      <c r="R21" s="316"/>
    </row>
    <row r="22" spans="1:18" ht="14.5" customHeight="1">
      <c r="A22" s="729" t="s">
        <v>7</v>
      </c>
      <c r="B22" s="730"/>
      <c r="C22" s="745" t="s">
        <v>8</v>
      </c>
      <c r="D22" s="745"/>
      <c r="E22" s="745"/>
      <c r="F22" s="745"/>
      <c r="G22" s="745"/>
      <c r="H22" s="745"/>
      <c r="I22" s="746"/>
      <c r="J22" s="316"/>
      <c r="K22" s="316"/>
      <c r="L22" s="316"/>
      <c r="M22" s="316"/>
      <c r="N22" s="316"/>
      <c r="O22" s="316"/>
      <c r="P22" s="316"/>
      <c r="Q22" s="316"/>
      <c r="R22" s="316"/>
    </row>
    <row r="23" spans="1:18">
      <c r="A23" s="729" t="s">
        <v>9</v>
      </c>
      <c r="B23" s="730"/>
      <c r="C23" s="745" t="s">
        <v>10</v>
      </c>
      <c r="D23" s="745"/>
      <c r="E23" s="745"/>
      <c r="F23" s="745"/>
      <c r="G23" s="745"/>
      <c r="H23" s="745"/>
      <c r="I23" s="746"/>
      <c r="J23" s="316"/>
      <c r="K23" s="316"/>
      <c r="L23" s="316"/>
      <c r="M23" s="316"/>
      <c r="N23" s="316"/>
      <c r="O23" s="316"/>
      <c r="P23" s="316"/>
      <c r="Q23" s="316"/>
      <c r="R23" s="316"/>
    </row>
    <row r="24" spans="1:18">
      <c r="A24" s="729" t="s">
        <v>11</v>
      </c>
      <c r="B24" s="730"/>
      <c r="C24" s="745" t="s">
        <v>12</v>
      </c>
      <c r="D24" s="745"/>
      <c r="E24" s="745"/>
      <c r="F24" s="745"/>
      <c r="G24" s="745"/>
      <c r="H24" s="745"/>
      <c r="I24" s="746"/>
      <c r="J24" s="316"/>
      <c r="K24" s="316"/>
      <c r="L24" s="316"/>
      <c r="M24" s="316"/>
      <c r="N24" s="316"/>
      <c r="O24" s="316"/>
      <c r="P24" s="316"/>
      <c r="Q24" s="316"/>
      <c r="R24" s="316"/>
    </row>
    <row r="25" spans="1:18">
      <c r="A25" s="729" t="s">
        <v>13</v>
      </c>
      <c r="B25" s="730"/>
      <c r="C25" s="747" t="s">
        <v>14</v>
      </c>
      <c r="D25" s="745"/>
      <c r="E25" s="745"/>
      <c r="F25" s="745"/>
      <c r="G25" s="745"/>
      <c r="H25" s="745"/>
      <c r="I25" s="746"/>
      <c r="J25" s="316"/>
      <c r="K25" s="316"/>
      <c r="L25" s="316"/>
      <c r="M25" s="316"/>
      <c r="N25" s="316"/>
      <c r="O25" s="316"/>
      <c r="P25" s="316"/>
      <c r="Q25" s="316"/>
      <c r="R25" s="316"/>
    </row>
    <row r="26" spans="1:18">
      <c r="A26" s="729" t="s">
        <v>15</v>
      </c>
      <c r="B26" s="730"/>
      <c r="C26" s="745"/>
      <c r="D26" s="745"/>
      <c r="E26" s="745"/>
      <c r="F26" s="745"/>
      <c r="G26" s="745"/>
      <c r="H26" s="745"/>
      <c r="I26" s="746"/>
      <c r="J26" s="316"/>
      <c r="K26" s="316"/>
      <c r="L26" s="316"/>
      <c r="M26" s="316"/>
      <c r="N26" s="316"/>
      <c r="O26" s="316"/>
      <c r="P26" s="316"/>
      <c r="Q26" s="316"/>
      <c r="R26" s="316"/>
    </row>
    <row r="27" spans="1:18" ht="19.25" customHeight="1">
      <c r="A27" s="729" t="s">
        <v>16</v>
      </c>
      <c r="B27" s="730"/>
      <c r="C27" s="731" t="s">
        <v>17</v>
      </c>
      <c r="D27" s="731"/>
      <c r="E27" s="731"/>
      <c r="F27" s="731"/>
      <c r="G27" s="731"/>
      <c r="H27" s="731"/>
      <c r="I27" s="732"/>
      <c r="J27" s="316"/>
      <c r="K27" s="316"/>
      <c r="L27" s="316"/>
      <c r="M27" s="316"/>
      <c r="N27" s="316"/>
      <c r="O27" s="316"/>
      <c r="P27" s="316"/>
      <c r="Q27" s="316"/>
      <c r="R27" s="316"/>
    </row>
    <row r="28" spans="1:18" ht="33" customHeight="1" thickBot="1">
      <c r="A28" s="733" t="s">
        <v>18</v>
      </c>
      <c r="B28" s="734"/>
      <c r="C28" s="735" t="s">
        <v>19</v>
      </c>
      <c r="D28" s="735"/>
      <c r="E28" s="735"/>
      <c r="F28" s="735"/>
      <c r="G28" s="735"/>
      <c r="H28" s="735"/>
      <c r="I28" s="736"/>
      <c r="J28" s="316"/>
      <c r="K28" s="316"/>
      <c r="L28" s="316"/>
      <c r="M28" s="316"/>
      <c r="N28" s="316"/>
      <c r="O28" s="316"/>
      <c r="P28" s="316"/>
      <c r="Q28" s="316"/>
      <c r="R28" s="316"/>
    </row>
    <row r="29" spans="1:18">
      <c r="A29" s="35"/>
      <c r="B29" s="35"/>
      <c r="C29" s="35"/>
      <c r="D29" s="35"/>
      <c r="E29" s="35"/>
      <c r="F29" s="35"/>
      <c r="G29" s="35"/>
      <c r="H29" s="35"/>
      <c r="I29" s="35"/>
      <c r="J29" s="316"/>
      <c r="K29" s="316"/>
      <c r="L29" s="316"/>
      <c r="M29" s="316"/>
      <c r="N29" s="316"/>
      <c r="O29" s="316"/>
      <c r="P29" s="316"/>
      <c r="Q29" s="316"/>
      <c r="R29" s="316"/>
    </row>
    <row r="30" spans="1:18" ht="16" thickBot="1">
      <c r="A30" s="737" t="s">
        <v>20</v>
      </c>
      <c r="B30" s="737"/>
      <c r="C30" s="737"/>
      <c r="D30" s="737"/>
      <c r="E30" s="737"/>
      <c r="F30" s="737"/>
      <c r="G30" s="737"/>
      <c r="H30" s="737"/>
      <c r="I30" s="737"/>
      <c r="J30" s="316"/>
      <c r="K30" s="316"/>
      <c r="L30" s="316"/>
      <c r="M30" s="316"/>
      <c r="N30" s="316"/>
      <c r="O30" s="316"/>
      <c r="P30" s="316"/>
      <c r="Q30" s="316"/>
      <c r="R30" s="316"/>
    </row>
    <row r="31" spans="1:18" ht="14.5" customHeight="1">
      <c r="A31" s="738" t="s">
        <v>21</v>
      </c>
      <c r="B31" s="739"/>
      <c r="C31" s="722" t="s">
        <v>22</v>
      </c>
      <c r="D31" s="722"/>
      <c r="E31" s="743" t="s">
        <v>23</v>
      </c>
      <c r="F31" s="743"/>
      <c r="G31" s="724" t="s">
        <v>24</v>
      </c>
      <c r="H31" s="724"/>
      <c r="I31" s="726" t="s">
        <v>25</v>
      </c>
      <c r="J31" s="316"/>
      <c r="K31" s="316"/>
      <c r="L31" s="316"/>
      <c r="M31" s="316"/>
      <c r="N31" s="316"/>
      <c r="O31" s="316"/>
      <c r="P31" s="316"/>
      <c r="Q31" s="316"/>
      <c r="R31" s="316"/>
    </row>
    <row r="32" spans="1:18" ht="16" thickBot="1">
      <c r="A32" s="740"/>
      <c r="B32" s="741"/>
      <c r="C32" s="742"/>
      <c r="D32" s="742"/>
      <c r="E32" s="744"/>
      <c r="F32" s="744"/>
      <c r="G32" s="725"/>
      <c r="H32" s="725"/>
      <c r="I32" s="727"/>
      <c r="J32" s="316"/>
      <c r="K32" s="316"/>
      <c r="L32" s="316"/>
      <c r="M32" s="316"/>
      <c r="N32" s="316"/>
      <c r="O32" s="316"/>
      <c r="P32" s="316"/>
      <c r="Q32" s="316"/>
      <c r="R32" s="316"/>
    </row>
    <row r="33" spans="1:18">
      <c r="A33" s="722"/>
      <c r="B33" s="722"/>
      <c r="C33" s="722"/>
      <c r="D33" s="722"/>
      <c r="E33" s="722"/>
      <c r="F33" s="722"/>
      <c r="G33" s="722"/>
      <c r="H33" s="722"/>
      <c r="I33" s="722"/>
      <c r="J33" s="316"/>
      <c r="K33" s="316"/>
      <c r="L33" s="316"/>
      <c r="M33" s="316"/>
      <c r="N33" s="316"/>
      <c r="O33" s="316"/>
      <c r="P33" s="316"/>
      <c r="Q33" s="316"/>
      <c r="R33" s="316"/>
    </row>
    <row r="34" spans="1:18">
      <c r="A34" s="723"/>
      <c r="B34" s="723"/>
      <c r="C34" s="723"/>
      <c r="D34" s="723"/>
      <c r="E34" s="723"/>
      <c r="F34" s="723"/>
      <c r="G34" s="723"/>
      <c r="H34" s="723"/>
      <c r="I34" s="723"/>
      <c r="J34" s="316"/>
      <c r="K34" s="316"/>
      <c r="L34" s="316"/>
      <c r="M34" s="316"/>
      <c r="N34" s="316"/>
      <c r="O34" s="316"/>
      <c r="P34" s="316"/>
      <c r="Q34" s="316"/>
      <c r="R34" s="316"/>
    </row>
    <row r="35" spans="1:18">
      <c r="A35" s="723"/>
      <c r="B35" s="723"/>
      <c r="C35" s="723"/>
      <c r="D35" s="723"/>
      <c r="E35" s="723"/>
      <c r="F35" s="723"/>
      <c r="G35" s="723"/>
      <c r="H35" s="723"/>
      <c r="I35" s="723"/>
      <c r="J35" s="316"/>
      <c r="K35" s="316"/>
      <c r="L35" s="316"/>
      <c r="M35" s="316"/>
      <c r="N35" s="316"/>
      <c r="O35" s="316"/>
      <c r="P35" s="316"/>
      <c r="Q35" s="316"/>
      <c r="R35" s="316"/>
    </row>
    <row r="36" spans="1:18">
      <c r="A36" s="83"/>
      <c r="B36" s="83"/>
      <c r="C36" s="35"/>
      <c r="D36" s="35"/>
      <c r="E36" s="35"/>
      <c r="F36" s="35"/>
      <c r="G36" s="35"/>
      <c r="H36" s="35"/>
      <c r="I36" s="35"/>
      <c r="J36" s="316"/>
      <c r="K36" s="316"/>
      <c r="L36" s="316"/>
      <c r="M36" s="316"/>
      <c r="N36" s="316"/>
      <c r="O36" s="316"/>
      <c r="P36" s="316"/>
      <c r="Q36" s="316"/>
      <c r="R36" s="316"/>
    </row>
    <row r="37" spans="1:18">
      <c r="A37" s="35"/>
      <c r="B37" s="35"/>
      <c r="C37" s="35"/>
      <c r="D37" s="35"/>
      <c r="E37" s="35"/>
      <c r="F37" s="35"/>
      <c r="G37" s="35"/>
      <c r="H37" s="35"/>
      <c r="I37" s="35"/>
      <c r="J37" s="316"/>
      <c r="K37" s="316"/>
      <c r="L37" s="316"/>
      <c r="M37" s="316"/>
      <c r="N37" s="316"/>
      <c r="O37" s="316"/>
      <c r="P37" s="316"/>
      <c r="Q37" s="316"/>
      <c r="R37" s="316"/>
    </row>
    <row r="38" spans="1:18">
      <c r="A38" s="35"/>
      <c r="B38" s="35"/>
      <c r="C38" s="35"/>
      <c r="D38" s="35"/>
      <c r="E38" s="35"/>
      <c r="F38" s="35"/>
      <c r="G38" s="35"/>
      <c r="H38" s="35"/>
      <c r="I38" s="35"/>
      <c r="J38" s="316"/>
      <c r="K38" s="316"/>
      <c r="L38" s="316"/>
      <c r="M38" s="316"/>
      <c r="N38" s="316"/>
      <c r="O38" s="316"/>
      <c r="P38" s="316"/>
      <c r="Q38" s="316"/>
      <c r="R38" s="316"/>
    </row>
    <row r="39" spans="1:18">
      <c r="A39" s="35"/>
      <c r="B39" s="35"/>
      <c r="C39" s="35"/>
      <c r="D39" s="35"/>
      <c r="E39" s="35"/>
      <c r="F39" s="35"/>
      <c r="G39" s="35"/>
      <c r="H39" s="35"/>
      <c r="I39" s="35"/>
      <c r="J39" s="316"/>
      <c r="K39" s="316"/>
      <c r="L39" s="316"/>
      <c r="M39" s="316"/>
      <c r="N39" s="316"/>
      <c r="O39" s="316"/>
      <c r="P39" s="316"/>
      <c r="Q39" s="316"/>
      <c r="R39" s="316"/>
    </row>
    <row r="40" spans="1:18">
      <c r="A40" s="35"/>
      <c r="B40" s="35"/>
      <c r="C40" s="35"/>
      <c r="D40" s="35"/>
      <c r="E40" s="35"/>
      <c r="F40" s="35"/>
      <c r="G40" s="35"/>
      <c r="H40" s="35"/>
      <c r="I40" s="35"/>
      <c r="J40" s="316"/>
      <c r="K40" s="316"/>
      <c r="L40" s="316"/>
      <c r="M40" s="316"/>
      <c r="N40" s="316"/>
      <c r="O40" s="316"/>
      <c r="P40" s="316"/>
      <c r="Q40" s="316"/>
      <c r="R40" s="316"/>
    </row>
    <row r="41" spans="1:18">
      <c r="A41" s="35"/>
      <c r="B41" s="35"/>
      <c r="C41" s="35"/>
      <c r="D41" s="35"/>
      <c r="E41" s="35"/>
      <c r="F41" s="35"/>
      <c r="G41" s="35"/>
      <c r="H41" s="35"/>
      <c r="I41" s="35"/>
      <c r="J41" s="316"/>
      <c r="K41" s="316"/>
      <c r="L41" s="316"/>
      <c r="M41" s="316"/>
      <c r="N41" s="316"/>
      <c r="O41" s="316"/>
      <c r="P41" s="316"/>
      <c r="Q41" s="316"/>
      <c r="R41" s="316"/>
    </row>
    <row r="42" spans="1:18">
      <c r="A42" s="35"/>
      <c r="B42" s="35"/>
      <c r="C42" s="35"/>
      <c r="D42" s="35"/>
      <c r="E42" s="35"/>
      <c r="F42" s="35"/>
      <c r="G42" s="35"/>
      <c r="H42" s="35"/>
      <c r="I42" s="35"/>
      <c r="J42" s="316"/>
      <c r="K42" s="316"/>
      <c r="L42" s="316"/>
      <c r="M42" s="316"/>
      <c r="N42" s="316"/>
      <c r="O42" s="316"/>
      <c r="P42" s="316"/>
      <c r="Q42" s="316"/>
      <c r="R42" s="316"/>
    </row>
    <row r="43" spans="1:18">
      <c r="A43" s="35"/>
      <c r="B43" s="35"/>
      <c r="C43" s="35"/>
      <c r="D43" s="35"/>
      <c r="E43" s="35"/>
      <c r="F43" s="35"/>
      <c r="G43" s="35"/>
      <c r="H43" s="35"/>
      <c r="I43" s="35"/>
    </row>
    <row r="44" spans="1:18">
      <c r="A44" s="35"/>
      <c r="B44" s="35"/>
      <c r="C44" s="35"/>
      <c r="D44" s="35"/>
      <c r="E44" s="35"/>
      <c r="F44" s="35"/>
      <c r="G44" s="35"/>
      <c r="H44" s="35"/>
      <c r="I44" s="35"/>
    </row>
    <row r="45" spans="1:18">
      <c r="A45" s="35"/>
      <c r="B45" s="35"/>
      <c r="C45" s="35"/>
      <c r="D45" s="35"/>
      <c r="E45" s="35"/>
      <c r="F45" s="35"/>
      <c r="G45" s="35"/>
      <c r="H45" s="35"/>
      <c r="I45" s="35"/>
    </row>
    <row r="46" spans="1:18">
      <c r="A46" s="35"/>
      <c r="B46" s="35"/>
      <c r="C46" s="35"/>
      <c r="D46" s="35"/>
      <c r="E46" s="35"/>
      <c r="F46" s="35"/>
      <c r="G46" s="35"/>
      <c r="H46" s="35"/>
      <c r="I46" s="35"/>
    </row>
  </sheetData>
  <mergeCells count="30">
    <mergeCell ref="A26:B26"/>
    <mergeCell ref="C26:I26"/>
    <mergeCell ref="A6:I6"/>
    <mergeCell ref="A8:I10"/>
    <mergeCell ref="A22:B22"/>
    <mergeCell ref="C22:I22"/>
    <mergeCell ref="A23:B23"/>
    <mergeCell ref="C23:I23"/>
    <mergeCell ref="A19:B19"/>
    <mergeCell ref="C19:I19"/>
    <mergeCell ref="A20:B20"/>
    <mergeCell ref="C20:I20"/>
    <mergeCell ref="A21:B21"/>
    <mergeCell ref="C21:I21"/>
    <mergeCell ref="A33:I35"/>
    <mergeCell ref="G31:H32"/>
    <mergeCell ref="I31:I32"/>
    <mergeCell ref="A7:I7"/>
    <mergeCell ref="A27:B27"/>
    <mergeCell ref="C27:I27"/>
    <mergeCell ref="A28:B28"/>
    <mergeCell ref="C28:I28"/>
    <mergeCell ref="A30:I30"/>
    <mergeCell ref="A31:B32"/>
    <mergeCell ref="C31:D32"/>
    <mergeCell ref="E31:F32"/>
    <mergeCell ref="A24:B24"/>
    <mergeCell ref="C24:I24"/>
    <mergeCell ref="A25:B25"/>
    <mergeCell ref="C25:I25"/>
  </mergeCells>
  <hyperlinks>
    <hyperlink ref="C25" r:id="rId1" xr:uid="{65D0C6F8-7242-48BA-A92D-5B095C37A4AD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  <outlinePr summaryBelow="0" summaryRight="0"/>
  </sheetPr>
  <dimension ref="A1:F75"/>
  <sheetViews>
    <sheetView zoomScaleNormal="100" zoomScaleSheetLayoutView="100" workbookViewId="0">
      <selection activeCell="L42" sqref="L42"/>
    </sheetView>
  </sheetViews>
  <sheetFormatPr baseColWidth="10" defaultColWidth="8.83203125" defaultRowHeight="15" outlineLevelRow="2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6" ht="25.25" customHeight="1" thickBot="1">
      <c r="A1" s="812" t="s">
        <v>216</v>
      </c>
      <c r="B1" s="812"/>
      <c r="C1" s="812"/>
      <c r="D1" s="813"/>
      <c r="E1" s="69" t="s">
        <v>125</v>
      </c>
    </row>
    <row r="2" spans="1:6" ht="16" collapsed="1" thickBot="1">
      <c r="A2" s="39" t="s">
        <v>217</v>
      </c>
      <c r="B2" s="74" t="s">
        <v>218</v>
      </c>
      <c r="C2" s="74" t="s">
        <v>219</v>
      </c>
      <c r="D2" s="74" t="s">
        <v>111</v>
      </c>
      <c r="E2" s="16"/>
    </row>
    <row r="3" spans="1:6" ht="16" thickBot="1">
      <c r="A3" s="814" t="s">
        <v>220</v>
      </c>
      <c r="B3" s="815"/>
      <c r="C3" s="815"/>
      <c r="D3" s="80"/>
      <c r="E3" s="76">
        <f>E4+E25</f>
        <v>12988120</v>
      </c>
    </row>
    <row r="4" spans="1:6" ht="16" outlineLevel="1" thickBot="1">
      <c r="A4" s="16" t="s">
        <v>221</v>
      </c>
      <c r="B4" s="16"/>
      <c r="C4" s="16"/>
      <c r="D4" s="27"/>
      <c r="E4" s="129">
        <f>SUM(E5:E24)</f>
        <v>4120</v>
      </c>
    </row>
    <row r="5" spans="1:6" ht="16" outlineLevel="2">
      <c r="A5" s="816" t="s">
        <v>222</v>
      </c>
      <c r="B5" s="817" t="s">
        <v>223</v>
      </c>
      <c r="C5" s="817">
        <v>635009</v>
      </c>
      <c r="D5" s="66" t="s">
        <v>115</v>
      </c>
      <c r="E5" s="63">
        <v>0</v>
      </c>
    </row>
    <row r="6" spans="1:6" ht="16" outlineLevel="2">
      <c r="A6" s="816"/>
      <c r="B6" s="817"/>
      <c r="C6" s="817"/>
      <c r="D6" s="67" t="s">
        <v>116</v>
      </c>
      <c r="E6" s="64">
        <v>0</v>
      </c>
    </row>
    <row r="7" spans="1:6" ht="16" outlineLevel="2">
      <c r="A7" s="816"/>
      <c r="B7" s="817"/>
      <c r="C7" s="817"/>
      <c r="D7" s="67" t="s">
        <v>117</v>
      </c>
      <c r="E7" s="64">
        <v>0</v>
      </c>
    </row>
    <row r="8" spans="1:6" ht="16" outlineLevel="2">
      <c r="A8" s="816"/>
      <c r="B8" s="817"/>
      <c r="C8" s="817"/>
      <c r="D8" s="67" t="s">
        <v>118</v>
      </c>
      <c r="E8" s="64">
        <v>0</v>
      </c>
    </row>
    <row r="9" spans="1:6" ht="16" outlineLevel="2">
      <c r="A9" s="816"/>
      <c r="B9" s="817"/>
      <c r="C9" s="817"/>
      <c r="D9" s="67" t="s">
        <v>119</v>
      </c>
      <c r="E9" s="64">
        <v>0</v>
      </c>
    </row>
    <row r="10" spans="1:6" ht="16" outlineLevel="2">
      <c r="A10" s="816"/>
      <c r="B10" s="817"/>
      <c r="C10" s="817"/>
      <c r="D10" s="67" t="s">
        <v>120</v>
      </c>
      <c r="E10" s="64">
        <v>0</v>
      </c>
    </row>
    <row r="11" spans="1:6" ht="16" outlineLevel="2">
      <c r="A11" s="816"/>
      <c r="B11" s="817"/>
      <c r="C11" s="817"/>
      <c r="D11" s="67" t="s">
        <v>121</v>
      </c>
      <c r="E11" s="64">
        <v>0</v>
      </c>
    </row>
    <row r="12" spans="1:6" ht="16" outlineLevel="2">
      <c r="A12" s="816"/>
      <c r="B12" s="817"/>
      <c r="C12" s="817"/>
      <c r="D12" s="67" t="s">
        <v>122</v>
      </c>
      <c r="E12" s="64">
        <v>0</v>
      </c>
    </row>
    <row r="13" spans="1:6" ht="16" outlineLevel="2">
      <c r="A13" s="816"/>
      <c r="B13" s="817"/>
      <c r="C13" s="817"/>
      <c r="D13" s="67" t="s">
        <v>123</v>
      </c>
      <c r="E13" s="64">
        <v>0</v>
      </c>
    </row>
    <row r="14" spans="1:6" ht="17" outlineLevel="2" thickBot="1">
      <c r="A14" s="816"/>
      <c r="B14" s="817"/>
      <c r="C14" s="817"/>
      <c r="D14" s="68" t="s">
        <v>124</v>
      </c>
      <c r="E14" s="65">
        <v>0</v>
      </c>
    </row>
    <row r="15" spans="1:6" ht="16" outlineLevel="2">
      <c r="A15" s="816" t="s">
        <v>224</v>
      </c>
      <c r="B15" s="817" t="s">
        <v>225</v>
      </c>
      <c r="C15" s="817">
        <v>718006</v>
      </c>
      <c r="D15" s="66" t="s">
        <v>115</v>
      </c>
      <c r="E15" s="64">
        <v>412</v>
      </c>
      <c r="F15" t="s">
        <v>226</v>
      </c>
    </row>
    <row r="16" spans="1:6" ht="16" outlineLevel="2">
      <c r="A16" s="816"/>
      <c r="B16" s="817"/>
      <c r="C16" s="817"/>
      <c r="D16" s="67" t="s">
        <v>116</v>
      </c>
      <c r="E16" s="64">
        <v>412</v>
      </c>
    </row>
    <row r="17" spans="1:6" ht="16" outlineLevel="2">
      <c r="A17" s="816"/>
      <c r="B17" s="817"/>
      <c r="C17" s="817"/>
      <c r="D17" s="67" t="s">
        <v>117</v>
      </c>
      <c r="E17" s="64">
        <v>412</v>
      </c>
    </row>
    <row r="18" spans="1:6" ht="16" outlineLevel="2">
      <c r="A18" s="816"/>
      <c r="B18" s="817"/>
      <c r="C18" s="817"/>
      <c r="D18" s="67" t="s">
        <v>118</v>
      </c>
      <c r="E18" s="64">
        <v>412</v>
      </c>
    </row>
    <row r="19" spans="1:6" ht="16" outlineLevel="2">
      <c r="A19" s="816"/>
      <c r="B19" s="817"/>
      <c r="C19" s="817"/>
      <c r="D19" s="67" t="s">
        <v>119</v>
      </c>
      <c r="E19" s="64">
        <v>412</v>
      </c>
    </row>
    <row r="20" spans="1:6" ht="16" outlineLevel="2">
      <c r="A20" s="816"/>
      <c r="B20" s="817"/>
      <c r="C20" s="817"/>
      <c r="D20" s="67" t="s">
        <v>120</v>
      </c>
      <c r="E20" s="64">
        <v>412</v>
      </c>
    </row>
    <row r="21" spans="1:6" ht="16" outlineLevel="2">
      <c r="A21" s="816"/>
      <c r="B21" s="817"/>
      <c r="C21" s="817"/>
      <c r="D21" s="67" t="s">
        <v>121</v>
      </c>
      <c r="E21" s="64">
        <v>412</v>
      </c>
    </row>
    <row r="22" spans="1:6" ht="16" outlineLevel="2">
      <c r="A22" s="816"/>
      <c r="B22" s="817"/>
      <c r="C22" s="817"/>
      <c r="D22" s="67" t="s">
        <v>122</v>
      </c>
      <c r="E22" s="64">
        <v>412</v>
      </c>
    </row>
    <row r="23" spans="1:6" ht="16" outlineLevel="2">
      <c r="A23" s="816"/>
      <c r="B23" s="817"/>
      <c r="C23" s="817"/>
      <c r="D23" s="67" t="s">
        <v>123</v>
      </c>
      <c r="E23" s="64">
        <v>412</v>
      </c>
    </row>
    <row r="24" spans="1:6" ht="17" outlineLevel="2" thickBot="1">
      <c r="A24" s="816"/>
      <c r="B24" s="817"/>
      <c r="C24" s="817"/>
      <c r="D24" s="68" t="s">
        <v>124</v>
      </c>
      <c r="E24" s="65">
        <v>412</v>
      </c>
    </row>
    <row r="25" spans="1:6" ht="16" outlineLevel="1" thickBot="1">
      <c r="A25" s="16" t="s">
        <v>86</v>
      </c>
      <c r="B25" s="16"/>
      <c r="C25" s="16"/>
      <c r="D25" s="27"/>
      <c r="E25" s="131">
        <f>SUM(E26:E75)</f>
        <v>12984000</v>
      </c>
    </row>
    <row r="26" spans="1:6" ht="16" outlineLevel="2">
      <c r="A26" s="816" t="s">
        <v>227</v>
      </c>
      <c r="B26" s="817" t="s">
        <v>223</v>
      </c>
      <c r="C26" s="817">
        <v>635009</v>
      </c>
      <c r="D26" s="66" t="s">
        <v>115</v>
      </c>
      <c r="E26" s="70">
        <f>20400+1278000</f>
        <v>1298400</v>
      </c>
      <c r="F26" t="s">
        <v>228</v>
      </c>
    </row>
    <row r="27" spans="1:6" ht="16" outlineLevel="2">
      <c r="A27" s="816"/>
      <c r="B27" s="817"/>
      <c r="C27" s="817"/>
      <c r="D27" s="67" t="s">
        <v>116</v>
      </c>
      <c r="E27" s="71">
        <f t="shared" ref="E27:E35" si="0">20400+1278000</f>
        <v>1298400</v>
      </c>
    </row>
    <row r="28" spans="1:6" ht="16" outlineLevel="2">
      <c r="A28" s="816"/>
      <c r="B28" s="817"/>
      <c r="C28" s="817"/>
      <c r="D28" s="67" t="s">
        <v>117</v>
      </c>
      <c r="E28" s="71">
        <f t="shared" si="0"/>
        <v>1298400</v>
      </c>
    </row>
    <row r="29" spans="1:6" ht="16" outlineLevel="2">
      <c r="A29" s="816"/>
      <c r="B29" s="817"/>
      <c r="C29" s="817"/>
      <c r="D29" s="67" t="s">
        <v>118</v>
      </c>
      <c r="E29" s="71">
        <f t="shared" si="0"/>
        <v>1298400</v>
      </c>
    </row>
    <row r="30" spans="1:6" ht="16" outlineLevel="2">
      <c r="A30" s="816"/>
      <c r="B30" s="817"/>
      <c r="C30" s="817"/>
      <c r="D30" s="67" t="s">
        <v>119</v>
      </c>
      <c r="E30" s="71">
        <f t="shared" si="0"/>
        <v>1298400</v>
      </c>
    </row>
    <row r="31" spans="1:6" ht="16" outlineLevel="2">
      <c r="A31" s="816"/>
      <c r="B31" s="817"/>
      <c r="C31" s="817"/>
      <c r="D31" s="67" t="s">
        <v>120</v>
      </c>
      <c r="E31" s="71">
        <f t="shared" si="0"/>
        <v>1298400</v>
      </c>
    </row>
    <row r="32" spans="1:6" ht="16" outlineLevel="2">
      <c r="A32" s="816"/>
      <c r="B32" s="817"/>
      <c r="C32" s="817"/>
      <c r="D32" s="67" t="s">
        <v>121</v>
      </c>
      <c r="E32" s="71">
        <f t="shared" si="0"/>
        <v>1298400</v>
      </c>
    </row>
    <row r="33" spans="1:5" ht="16" outlineLevel="2">
      <c r="A33" s="816"/>
      <c r="B33" s="817"/>
      <c r="C33" s="817"/>
      <c r="D33" s="67" t="s">
        <v>122</v>
      </c>
      <c r="E33" s="71">
        <f t="shared" si="0"/>
        <v>1298400</v>
      </c>
    </row>
    <row r="34" spans="1:5" ht="16" outlineLevel="2">
      <c r="A34" s="816"/>
      <c r="B34" s="817"/>
      <c r="C34" s="817"/>
      <c r="D34" s="67" t="s">
        <v>123</v>
      </c>
      <c r="E34" s="71">
        <f t="shared" si="0"/>
        <v>1298400</v>
      </c>
    </row>
    <row r="35" spans="1:5" ht="17" outlineLevel="2" thickBot="1">
      <c r="A35" s="816"/>
      <c r="B35" s="817"/>
      <c r="C35" s="817"/>
      <c r="D35" s="68" t="s">
        <v>124</v>
      </c>
      <c r="E35" s="72">
        <f t="shared" si="0"/>
        <v>1298400</v>
      </c>
    </row>
    <row r="36" spans="1:5" ht="16" outlineLevel="2">
      <c r="A36" s="816" t="s">
        <v>229</v>
      </c>
      <c r="B36" s="817" t="s">
        <v>230</v>
      </c>
      <c r="C36" s="817">
        <v>637005</v>
      </c>
      <c r="D36" s="66" t="s">
        <v>115</v>
      </c>
      <c r="E36" s="71">
        <v>0</v>
      </c>
    </row>
    <row r="37" spans="1:5" ht="16" outlineLevel="2">
      <c r="A37" s="816"/>
      <c r="B37" s="817"/>
      <c r="C37" s="817"/>
      <c r="D37" s="67" t="s">
        <v>116</v>
      </c>
      <c r="E37" s="71">
        <v>0</v>
      </c>
    </row>
    <row r="38" spans="1:5" ht="16" outlineLevel="2">
      <c r="A38" s="816"/>
      <c r="B38" s="817"/>
      <c r="C38" s="817"/>
      <c r="D38" s="67" t="s">
        <v>117</v>
      </c>
      <c r="E38" s="71">
        <v>0</v>
      </c>
    </row>
    <row r="39" spans="1:5" ht="16" outlineLevel="2">
      <c r="A39" s="816"/>
      <c r="B39" s="817"/>
      <c r="C39" s="817"/>
      <c r="D39" s="67" t="s">
        <v>118</v>
      </c>
      <c r="E39" s="71">
        <v>0</v>
      </c>
    </row>
    <row r="40" spans="1:5" ht="16" outlineLevel="2">
      <c r="A40" s="816"/>
      <c r="B40" s="817"/>
      <c r="C40" s="817"/>
      <c r="D40" s="67" t="s">
        <v>119</v>
      </c>
      <c r="E40" s="71">
        <v>0</v>
      </c>
    </row>
    <row r="41" spans="1:5" ht="16" outlineLevel="2">
      <c r="A41" s="816"/>
      <c r="B41" s="817"/>
      <c r="C41" s="817"/>
      <c r="D41" s="67" t="s">
        <v>120</v>
      </c>
      <c r="E41" s="71">
        <v>0</v>
      </c>
    </row>
    <row r="42" spans="1:5" ht="16" outlineLevel="2">
      <c r="A42" s="816"/>
      <c r="B42" s="817"/>
      <c r="C42" s="817"/>
      <c r="D42" s="67" t="s">
        <v>121</v>
      </c>
      <c r="E42" s="71">
        <v>0</v>
      </c>
    </row>
    <row r="43" spans="1:5" ht="16" outlineLevel="2">
      <c r="A43" s="816"/>
      <c r="B43" s="817"/>
      <c r="C43" s="817"/>
      <c r="D43" s="67" t="s">
        <v>122</v>
      </c>
      <c r="E43" s="71">
        <v>0</v>
      </c>
    </row>
    <row r="44" spans="1:5" ht="16" outlineLevel="2">
      <c r="A44" s="816"/>
      <c r="B44" s="817"/>
      <c r="C44" s="817"/>
      <c r="D44" s="67" t="s">
        <v>123</v>
      </c>
      <c r="E44" s="71">
        <v>0</v>
      </c>
    </row>
    <row r="45" spans="1:5" ht="17" outlineLevel="2" thickBot="1">
      <c r="A45" s="816"/>
      <c r="B45" s="817"/>
      <c r="C45" s="817"/>
      <c r="D45" s="68" t="s">
        <v>124</v>
      </c>
      <c r="E45" s="72">
        <v>0</v>
      </c>
    </row>
    <row r="46" spans="1:5" ht="16" outlineLevel="2">
      <c r="A46" s="816" t="s">
        <v>231</v>
      </c>
      <c r="B46" s="817" t="s">
        <v>225</v>
      </c>
      <c r="C46" s="817">
        <v>718006</v>
      </c>
      <c r="D46" s="66" t="s">
        <v>115</v>
      </c>
      <c r="E46" s="71">
        <v>0</v>
      </c>
    </row>
    <row r="47" spans="1:5" ht="16" outlineLevel="2">
      <c r="A47" s="816"/>
      <c r="B47" s="817"/>
      <c r="C47" s="817"/>
      <c r="D47" s="67" t="s">
        <v>116</v>
      </c>
      <c r="E47" s="71">
        <v>0</v>
      </c>
    </row>
    <row r="48" spans="1:5" ht="16" outlineLevel="2">
      <c r="A48" s="816"/>
      <c r="B48" s="817"/>
      <c r="C48" s="817"/>
      <c r="D48" s="67" t="s">
        <v>117</v>
      </c>
      <c r="E48" s="71">
        <v>0</v>
      </c>
    </row>
    <row r="49" spans="1:5" ht="16" outlineLevel="2">
      <c r="A49" s="816"/>
      <c r="B49" s="817"/>
      <c r="C49" s="817"/>
      <c r="D49" s="67" t="s">
        <v>118</v>
      </c>
      <c r="E49" s="71">
        <v>0</v>
      </c>
    </row>
    <row r="50" spans="1:5" ht="16" outlineLevel="2">
      <c r="A50" s="816"/>
      <c r="B50" s="817"/>
      <c r="C50" s="817"/>
      <c r="D50" s="67" t="s">
        <v>119</v>
      </c>
      <c r="E50" s="71">
        <v>0</v>
      </c>
    </row>
    <row r="51" spans="1:5" ht="16" outlineLevel="2">
      <c r="A51" s="816"/>
      <c r="B51" s="817"/>
      <c r="C51" s="817"/>
      <c r="D51" s="67" t="s">
        <v>120</v>
      </c>
      <c r="E51" s="71">
        <v>0</v>
      </c>
    </row>
    <row r="52" spans="1:5" ht="16" outlineLevel="2">
      <c r="A52" s="816"/>
      <c r="B52" s="817"/>
      <c r="C52" s="817"/>
      <c r="D52" s="67" t="s">
        <v>121</v>
      </c>
      <c r="E52" s="71">
        <v>0</v>
      </c>
    </row>
    <row r="53" spans="1:5" ht="16" outlineLevel="2">
      <c r="A53" s="816"/>
      <c r="B53" s="817"/>
      <c r="C53" s="817"/>
      <c r="D53" s="67" t="s">
        <v>122</v>
      </c>
      <c r="E53" s="71">
        <v>0</v>
      </c>
    </row>
    <row r="54" spans="1:5" ht="16" outlineLevel="2">
      <c r="A54" s="816"/>
      <c r="B54" s="817"/>
      <c r="C54" s="817"/>
      <c r="D54" s="67" t="s">
        <v>123</v>
      </c>
      <c r="E54" s="71">
        <v>0</v>
      </c>
    </row>
    <row r="55" spans="1:5" ht="17" outlineLevel="2" thickBot="1">
      <c r="A55" s="816"/>
      <c r="B55" s="817"/>
      <c r="C55" s="817"/>
      <c r="D55" s="68" t="s">
        <v>124</v>
      </c>
      <c r="E55" s="72">
        <v>0</v>
      </c>
    </row>
    <row r="56" spans="1:5" ht="16" outlineLevel="2">
      <c r="A56" s="816" t="s">
        <v>232</v>
      </c>
      <c r="B56" s="817" t="s">
        <v>233</v>
      </c>
      <c r="C56" s="817"/>
      <c r="D56" s="66" t="s">
        <v>115</v>
      </c>
      <c r="E56" s="71">
        <v>0</v>
      </c>
    </row>
    <row r="57" spans="1:5" ht="16" outlineLevel="2">
      <c r="A57" s="816"/>
      <c r="B57" s="817"/>
      <c r="C57" s="817"/>
      <c r="D57" s="67" t="s">
        <v>116</v>
      </c>
      <c r="E57" s="71">
        <v>0</v>
      </c>
    </row>
    <row r="58" spans="1:5" ht="16" outlineLevel="2">
      <c r="A58" s="816"/>
      <c r="B58" s="817"/>
      <c r="C58" s="817"/>
      <c r="D58" s="67" t="s">
        <v>117</v>
      </c>
      <c r="E58" s="71">
        <v>0</v>
      </c>
    </row>
    <row r="59" spans="1:5" ht="16" outlineLevel="2">
      <c r="A59" s="816"/>
      <c r="B59" s="817"/>
      <c r="C59" s="817"/>
      <c r="D59" s="67" t="s">
        <v>118</v>
      </c>
      <c r="E59" s="71">
        <v>0</v>
      </c>
    </row>
    <row r="60" spans="1:5" ht="16" outlineLevel="2">
      <c r="A60" s="816"/>
      <c r="B60" s="817"/>
      <c r="C60" s="817"/>
      <c r="D60" s="67" t="s">
        <v>119</v>
      </c>
      <c r="E60" s="71">
        <v>0</v>
      </c>
    </row>
    <row r="61" spans="1:5" ht="16" outlineLevel="2">
      <c r="A61" s="816"/>
      <c r="B61" s="817"/>
      <c r="C61" s="817"/>
      <c r="D61" s="67" t="s">
        <v>120</v>
      </c>
      <c r="E61" s="71">
        <v>0</v>
      </c>
    </row>
    <row r="62" spans="1:5" ht="16" outlineLevel="2">
      <c r="A62" s="816"/>
      <c r="B62" s="817"/>
      <c r="C62" s="817"/>
      <c r="D62" s="67" t="s">
        <v>121</v>
      </c>
      <c r="E62" s="71">
        <v>0</v>
      </c>
    </row>
    <row r="63" spans="1:5" ht="16" outlineLevel="2">
      <c r="A63" s="816"/>
      <c r="B63" s="817"/>
      <c r="C63" s="817"/>
      <c r="D63" s="67" t="s">
        <v>122</v>
      </c>
      <c r="E63" s="71">
        <v>0</v>
      </c>
    </row>
    <row r="64" spans="1:5" ht="16" outlineLevel="2">
      <c r="A64" s="816"/>
      <c r="B64" s="817"/>
      <c r="C64" s="817"/>
      <c r="D64" s="67" t="s">
        <v>123</v>
      </c>
      <c r="E64" s="71">
        <v>0</v>
      </c>
    </row>
    <row r="65" spans="1:5" ht="17" outlineLevel="2" thickBot="1">
      <c r="A65" s="816"/>
      <c r="B65" s="817"/>
      <c r="C65" s="817"/>
      <c r="D65" s="68" t="s">
        <v>124</v>
      </c>
      <c r="E65" s="72">
        <v>0</v>
      </c>
    </row>
    <row r="66" spans="1:5" ht="16" outlineLevel="2">
      <c r="A66" s="816" t="s">
        <v>234</v>
      </c>
      <c r="B66" s="817" t="s">
        <v>230</v>
      </c>
      <c r="C66" s="817">
        <v>637001</v>
      </c>
      <c r="D66" s="66" t="s">
        <v>115</v>
      </c>
      <c r="E66" s="71">
        <v>0</v>
      </c>
    </row>
    <row r="67" spans="1:5" ht="16" outlineLevel="2">
      <c r="A67" s="816"/>
      <c r="B67" s="817"/>
      <c r="C67" s="817"/>
      <c r="D67" s="67" t="s">
        <v>116</v>
      </c>
      <c r="E67" s="71">
        <v>0</v>
      </c>
    </row>
    <row r="68" spans="1:5" ht="16" outlineLevel="2">
      <c r="A68" s="816"/>
      <c r="B68" s="817"/>
      <c r="C68" s="817"/>
      <c r="D68" s="67" t="s">
        <v>117</v>
      </c>
      <c r="E68" s="71">
        <v>0</v>
      </c>
    </row>
    <row r="69" spans="1:5" ht="16" outlineLevel="2">
      <c r="A69" s="816"/>
      <c r="B69" s="817"/>
      <c r="C69" s="817"/>
      <c r="D69" s="67" t="s">
        <v>118</v>
      </c>
      <c r="E69" s="71">
        <v>0</v>
      </c>
    </row>
    <row r="70" spans="1:5" ht="16" outlineLevel="2">
      <c r="A70" s="816"/>
      <c r="B70" s="817"/>
      <c r="C70" s="817"/>
      <c r="D70" s="67" t="s">
        <v>119</v>
      </c>
      <c r="E70" s="71">
        <v>0</v>
      </c>
    </row>
    <row r="71" spans="1:5" ht="16" outlineLevel="2">
      <c r="A71" s="816"/>
      <c r="B71" s="817"/>
      <c r="C71" s="817"/>
      <c r="D71" s="67" t="s">
        <v>120</v>
      </c>
      <c r="E71" s="71">
        <v>0</v>
      </c>
    </row>
    <row r="72" spans="1:5" ht="16" outlineLevel="2">
      <c r="A72" s="816"/>
      <c r="B72" s="817"/>
      <c r="C72" s="817"/>
      <c r="D72" s="67" t="s">
        <v>121</v>
      </c>
      <c r="E72" s="71">
        <v>0</v>
      </c>
    </row>
    <row r="73" spans="1:5" ht="16" outlineLevel="2">
      <c r="A73" s="816"/>
      <c r="B73" s="817"/>
      <c r="C73" s="817"/>
      <c r="D73" s="67" t="s">
        <v>122</v>
      </c>
      <c r="E73" s="71">
        <v>0</v>
      </c>
    </row>
    <row r="74" spans="1:5" ht="16" outlineLevel="2">
      <c r="A74" s="816"/>
      <c r="B74" s="817"/>
      <c r="C74" s="817"/>
      <c r="D74" s="67" t="s">
        <v>123</v>
      </c>
      <c r="E74" s="71">
        <v>0</v>
      </c>
    </row>
    <row r="75" spans="1:5" ht="17" outlineLevel="2" thickBot="1">
      <c r="A75" s="816"/>
      <c r="B75" s="817"/>
      <c r="C75" s="817"/>
      <c r="D75" s="68" t="s">
        <v>124</v>
      </c>
      <c r="E75" s="72">
        <v>0</v>
      </c>
    </row>
  </sheetData>
  <mergeCells count="23">
    <mergeCell ref="A56:A65"/>
    <mergeCell ref="B56:B65"/>
    <mergeCell ref="C56:C65"/>
    <mergeCell ref="A66:A75"/>
    <mergeCell ref="B66:B75"/>
    <mergeCell ref="C66:C75"/>
    <mergeCell ref="A36:A45"/>
    <mergeCell ref="B36:B45"/>
    <mergeCell ref="C36:C45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A1:D1"/>
    <mergeCell ref="A3:C3"/>
    <mergeCell ref="A5:A14"/>
    <mergeCell ref="B5:B14"/>
    <mergeCell ref="C5:C14"/>
  </mergeCells>
  <pageMargins left="0.7" right="0.7" top="0.75" bottom="0.75" header="0.3" footer="0.3"/>
  <pageSetup paperSize="9" scale="6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CC"/>
    <outlinePr summaryBelow="0" summaryRight="0"/>
  </sheetPr>
  <dimension ref="A1:F53"/>
  <sheetViews>
    <sheetView zoomScaleNormal="100" workbookViewId="0">
      <selection activeCell="O37" sqref="O37"/>
    </sheetView>
  </sheetViews>
  <sheetFormatPr baseColWidth="10" defaultColWidth="8.83203125" defaultRowHeight="15" outlineLevelRow="1"/>
  <cols>
    <col min="1" max="1" width="22.5" customWidth="1"/>
    <col min="2" max="2" width="23.33203125" customWidth="1"/>
    <col min="3" max="3" width="22.5" customWidth="1"/>
    <col min="5" max="5" width="17.83203125" customWidth="1"/>
  </cols>
  <sheetData>
    <row r="1" spans="1:6" ht="25.25" customHeight="1" thickBot="1">
      <c r="A1" s="812" t="s">
        <v>235</v>
      </c>
      <c r="B1" s="812"/>
      <c r="C1" s="812"/>
      <c r="D1" s="813"/>
      <c r="E1" s="69" t="s">
        <v>125</v>
      </c>
    </row>
    <row r="2" spans="1:6" ht="16" thickBot="1">
      <c r="A2" s="39" t="s">
        <v>217</v>
      </c>
      <c r="B2" s="74" t="s">
        <v>218</v>
      </c>
      <c r="C2" s="74" t="s">
        <v>219</v>
      </c>
      <c r="D2" s="74" t="s">
        <v>111</v>
      </c>
      <c r="E2" s="16"/>
    </row>
    <row r="3" spans="1:6" ht="16" thickBot="1">
      <c r="A3" s="818" t="s">
        <v>236</v>
      </c>
      <c r="B3" s="818"/>
      <c r="C3" s="818"/>
      <c r="D3" s="75"/>
      <c r="E3" s="76">
        <f>SUM(E4:E53)</f>
        <v>1000</v>
      </c>
    </row>
    <row r="4" spans="1:6" ht="16" outlineLevel="1">
      <c r="A4" s="816" t="s">
        <v>237</v>
      </c>
      <c r="B4" s="817" t="s">
        <v>223</v>
      </c>
      <c r="C4" s="817">
        <v>635002</v>
      </c>
      <c r="D4" s="66" t="s">
        <v>115</v>
      </c>
      <c r="E4" s="70">
        <v>0</v>
      </c>
    </row>
    <row r="5" spans="1:6" ht="16" outlineLevel="1">
      <c r="A5" s="816"/>
      <c r="B5" s="817"/>
      <c r="C5" s="817"/>
      <c r="D5" s="67" t="s">
        <v>116</v>
      </c>
      <c r="E5" s="71">
        <v>0</v>
      </c>
    </row>
    <row r="6" spans="1:6" ht="16" outlineLevel="1">
      <c r="A6" s="816"/>
      <c r="B6" s="817"/>
      <c r="C6" s="817"/>
      <c r="D6" s="67" t="s">
        <v>117</v>
      </c>
      <c r="E6" s="71">
        <v>0</v>
      </c>
    </row>
    <row r="7" spans="1:6" ht="16" outlineLevel="1">
      <c r="A7" s="816"/>
      <c r="B7" s="817"/>
      <c r="C7" s="817"/>
      <c r="D7" s="67" t="s">
        <v>118</v>
      </c>
      <c r="E7" s="71">
        <v>0</v>
      </c>
    </row>
    <row r="8" spans="1:6" ht="16" outlineLevel="1">
      <c r="A8" s="816"/>
      <c r="B8" s="817"/>
      <c r="C8" s="817"/>
      <c r="D8" s="67" t="s">
        <v>119</v>
      </c>
      <c r="E8" s="71">
        <v>0</v>
      </c>
    </row>
    <row r="9" spans="1:6" ht="16" outlineLevel="1">
      <c r="A9" s="816"/>
      <c r="B9" s="817"/>
      <c r="C9" s="817"/>
      <c r="D9" s="67" t="s">
        <v>120</v>
      </c>
      <c r="E9" s="71">
        <v>0</v>
      </c>
    </row>
    <row r="10" spans="1:6" ht="16" outlineLevel="1">
      <c r="A10" s="816"/>
      <c r="B10" s="817"/>
      <c r="C10" s="817"/>
      <c r="D10" s="67" t="s">
        <v>121</v>
      </c>
      <c r="E10" s="71">
        <v>0</v>
      </c>
    </row>
    <row r="11" spans="1:6" ht="16" outlineLevel="1">
      <c r="A11" s="816"/>
      <c r="B11" s="817"/>
      <c r="C11" s="817"/>
      <c r="D11" s="67" t="s">
        <v>122</v>
      </c>
      <c r="E11" s="71">
        <v>0</v>
      </c>
    </row>
    <row r="12" spans="1:6" ht="16" outlineLevel="1">
      <c r="A12" s="816"/>
      <c r="B12" s="817"/>
      <c r="C12" s="817"/>
      <c r="D12" s="67" t="s">
        <v>123</v>
      </c>
      <c r="E12" s="71">
        <v>0</v>
      </c>
    </row>
    <row r="13" spans="1:6" ht="17" outlineLevel="1" thickBot="1">
      <c r="A13" s="816"/>
      <c r="B13" s="817"/>
      <c r="C13" s="817"/>
      <c r="D13" s="68" t="s">
        <v>124</v>
      </c>
      <c r="E13" s="72">
        <v>0</v>
      </c>
    </row>
    <row r="14" spans="1:6" ht="16" outlineLevel="1">
      <c r="A14" s="816" t="s">
        <v>238</v>
      </c>
      <c r="B14" s="816" t="s">
        <v>239</v>
      </c>
      <c r="C14" s="817">
        <v>718002</v>
      </c>
      <c r="D14" s="66" t="s">
        <v>115</v>
      </c>
      <c r="E14" s="71">
        <v>100</v>
      </c>
      <c r="F14" t="s">
        <v>226</v>
      </c>
    </row>
    <row r="15" spans="1:6" ht="16" outlineLevel="1">
      <c r="A15" s="816"/>
      <c r="B15" s="817"/>
      <c r="C15" s="817"/>
      <c r="D15" s="67" t="s">
        <v>116</v>
      </c>
      <c r="E15" s="71">
        <v>100</v>
      </c>
    </row>
    <row r="16" spans="1:6" ht="16" outlineLevel="1">
      <c r="A16" s="816"/>
      <c r="B16" s="817"/>
      <c r="C16" s="817"/>
      <c r="D16" s="67" t="s">
        <v>117</v>
      </c>
      <c r="E16" s="71">
        <v>100</v>
      </c>
    </row>
    <row r="17" spans="1:5" ht="16" outlineLevel="1">
      <c r="A17" s="816"/>
      <c r="B17" s="817"/>
      <c r="C17" s="817"/>
      <c r="D17" s="67" t="s">
        <v>118</v>
      </c>
      <c r="E17" s="71">
        <v>100</v>
      </c>
    </row>
    <row r="18" spans="1:5" ht="16" outlineLevel="1">
      <c r="A18" s="816"/>
      <c r="B18" s="817"/>
      <c r="C18" s="817"/>
      <c r="D18" s="67" t="s">
        <v>119</v>
      </c>
      <c r="E18" s="71">
        <v>100</v>
      </c>
    </row>
    <row r="19" spans="1:5" ht="16" outlineLevel="1">
      <c r="A19" s="816"/>
      <c r="B19" s="817"/>
      <c r="C19" s="817"/>
      <c r="D19" s="67" t="s">
        <v>120</v>
      </c>
      <c r="E19" s="71">
        <v>100</v>
      </c>
    </row>
    <row r="20" spans="1:5" ht="16" outlineLevel="1">
      <c r="A20" s="816"/>
      <c r="B20" s="817"/>
      <c r="C20" s="817"/>
      <c r="D20" s="67" t="s">
        <v>121</v>
      </c>
      <c r="E20" s="71">
        <v>100</v>
      </c>
    </row>
    <row r="21" spans="1:5" ht="16" outlineLevel="1">
      <c r="A21" s="816"/>
      <c r="B21" s="817"/>
      <c r="C21" s="817"/>
      <c r="D21" s="67" t="s">
        <v>122</v>
      </c>
      <c r="E21" s="71">
        <v>100</v>
      </c>
    </row>
    <row r="22" spans="1:5" ht="16" outlineLevel="1">
      <c r="A22" s="816"/>
      <c r="B22" s="817"/>
      <c r="C22" s="817"/>
      <c r="D22" s="67" t="s">
        <v>123</v>
      </c>
      <c r="E22" s="71">
        <v>100</v>
      </c>
    </row>
    <row r="23" spans="1:5" ht="17" outlineLevel="1" thickBot="1">
      <c r="A23" s="816"/>
      <c r="B23" s="817"/>
      <c r="C23" s="817"/>
      <c r="D23" s="68" t="s">
        <v>124</v>
      </c>
      <c r="E23" s="72">
        <v>100</v>
      </c>
    </row>
    <row r="24" spans="1:5" ht="16" outlineLevel="1">
      <c r="A24" s="816" t="s">
        <v>240</v>
      </c>
      <c r="B24" s="817"/>
      <c r="C24" s="817"/>
      <c r="D24" s="66" t="s">
        <v>115</v>
      </c>
      <c r="E24" s="71">
        <v>0</v>
      </c>
    </row>
    <row r="25" spans="1:5" ht="16" outlineLevel="1">
      <c r="A25" s="816"/>
      <c r="B25" s="817"/>
      <c r="C25" s="817"/>
      <c r="D25" s="67" t="s">
        <v>116</v>
      </c>
      <c r="E25" s="71">
        <v>0</v>
      </c>
    </row>
    <row r="26" spans="1:5" ht="16" outlineLevel="1">
      <c r="A26" s="816"/>
      <c r="B26" s="817"/>
      <c r="C26" s="817"/>
      <c r="D26" s="67" t="s">
        <v>117</v>
      </c>
      <c r="E26" s="71">
        <v>0</v>
      </c>
    </row>
    <row r="27" spans="1:5" ht="16" outlineLevel="1">
      <c r="A27" s="816"/>
      <c r="B27" s="817"/>
      <c r="C27" s="817"/>
      <c r="D27" s="67" t="s">
        <v>118</v>
      </c>
      <c r="E27" s="71">
        <v>0</v>
      </c>
    </row>
    <row r="28" spans="1:5" ht="16" outlineLevel="1">
      <c r="A28" s="816"/>
      <c r="B28" s="817"/>
      <c r="C28" s="817"/>
      <c r="D28" s="67" t="s">
        <v>119</v>
      </c>
      <c r="E28" s="71">
        <v>0</v>
      </c>
    </row>
    <row r="29" spans="1:5" ht="16" outlineLevel="1">
      <c r="A29" s="816"/>
      <c r="B29" s="817"/>
      <c r="C29" s="817"/>
      <c r="D29" s="67" t="s">
        <v>120</v>
      </c>
      <c r="E29" s="71">
        <v>0</v>
      </c>
    </row>
    <row r="30" spans="1:5" ht="16" outlineLevel="1">
      <c r="A30" s="816"/>
      <c r="B30" s="817"/>
      <c r="C30" s="817"/>
      <c r="D30" s="67" t="s">
        <v>121</v>
      </c>
      <c r="E30" s="71">
        <v>0</v>
      </c>
    </row>
    <row r="31" spans="1:5" ht="16" outlineLevel="1">
      <c r="A31" s="816"/>
      <c r="B31" s="817"/>
      <c r="C31" s="817"/>
      <c r="D31" s="67" t="s">
        <v>122</v>
      </c>
      <c r="E31" s="71">
        <v>0</v>
      </c>
    </row>
    <row r="32" spans="1:5" ht="16" outlineLevel="1">
      <c r="A32" s="816"/>
      <c r="B32" s="817"/>
      <c r="C32" s="817"/>
      <c r="D32" s="67" t="s">
        <v>123</v>
      </c>
      <c r="E32" s="71">
        <v>0</v>
      </c>
    </row>
    <row r="33" spans="1:5" ht="17" outlineLevel="1" thickBot="1">
      <c r="A33" s="816"/>
      <c r="B33" s="817"/>
      <c r="C33" s="817"/>
      <c r="D33" s="68" t="s">
        <v>124</v>
      </c>
      <c r="E33" s="72">
        <v>0</v>
      </c>
    </row>
    <row r="34" spans="1:5" ht="16" outlineLevel="1">
      <c r="A34" s="816" t="s">
        <v>241</v>
      </c>
      <c r="B34" s="817"/>
      <c r="C34" s="817"/>
      <c r="D34" s="66" t="s">
        <v>115</v>
      </c>
      <c r="E34" s="71">
        <v>0</v>
      </c>
    </row>
    <row r="35" spans="1:5" ht="16" outlineLevel="1">
      <c r="A35" s="816"/>
      <c r="B35" s="817"/>
      <c r="C35" s="817"/>
      <c r="D35" s="67" t="s">
        <v>116</v>
      </c>
      <c r="E35" s="71">
        <v>0</v>
      </c>
    </row>
    <row r="36" spans="1:5" ht="16" outlineLevel="1">
      <c r="A36" s="816"/>
      <c r="B36" s="817"/>
      <c r="C36" s="817"/>
      <c r="D36" s="67" t="s">
        <v>117</v>
      </c>
      <c r="E36" s="71">
        <v>0</v>
      </c>
    </row>
    <row r="37" spans="1:5" ht="16" outlineLevel="1">
      <c r="A37" s="816"/>
      <c r="B37" s="817"/>
      <c r="C37" s="817"/>
      <c r="D37" s="67" t="s">
        <v>118</v>
      </c>
      <c r="E37" s="71">
        <v>0</v>
      </c>
    </row>
    <row r="38" spans="1:5" ht="16" outlineLevel="1">
      <c r="A38" s="816"/>
      <c r="B38" s="817"/>
      <c r="C38" s="817"/>
      <c r="D38" s="67" t="s">
        <v>119</v>
      </c>
      <c r="E38" s="71">
        <v>0</v>
      </c>
    </row>
    <row r="39" spans="1:5" ht="16" outlineLevel="1">
      <c r="A39" s="816"/>
      <c r="B39" s="817"/>
      <c r="C39" s="817"/>
      <c r="D39" s="67" t="s">
        <v>120</v>
      </c>
      <c r="E39" s="71">
        <v>0</v>
      </c>
    </row>
    <row r="40" spans="1:5" ht="16" outlineLevel="1">
      <c r="A40" s="816"/>
      <c r="B40" s="817"/>
      <c r="C40" s="817"/>
      <c r="D40" s="67" t="s">
        <v>121</v>
      </c>
      <c r="E40" s="71">
        <v>0</v>
      </c>
    </row>
    <row r="41" spans="1:5" ht="16" outlineLevel="1">
      <c r="A41" s="816"/>
      <c r="B41" s="817"/>
      <c r="C41" s="817"/>
      <c r="D41" s="67" t="s">
        <v>122</v>
      </c>
      <c r="E41" s="71">
        <v>0</v>
      </c>
    </row>
    <row r="42" spans="1:5" ht="16" outlineLevel="1">
      <c r="A42" s="816"/>
      <c r="B42" s="817"/>
      <c r="C42" s="817"/>
      <c r="D42" s="67" t="s">
        <v>123</v>
      </c>
      <c r="E42" s="71">
        <v>0</v>
      </c>
    </row>
    <row r="43" spans="1:5" ht="17" outlineLevel="1" thickBot="1">
      <c r="A43" s="816"/>
      <c r="B43" s="817"/>
      <c r="C43" s="817"/>
      <c r="D43" s="68" t="s">
        <v>124</v>
      </c>
      <c r="E43" s="72">
        <v>0</v>
      </c>
    </row>
    <row r="44" spans="1:5" ht="16" outlineLevel="1">
      <c r="A44" s="816" t="s">
        <v>242</v>
      </c>
      <c r="B44" s="817" t="s">
        <v>230</v>
      </c>
      <c r="C44" s="817">
        <v>637001</v>
      </c>
      <c r="D44" s="66" t="s">
        <v>115</v>
      </c>
      <c r="E44" s="71">
        <v>0</v>
      </c>
    </row>
    <row r="45" spans="1:5" ht="16" outlineLevel="1">
      <c r="A45" s="816"/>
      <c r="B45" s="817"/>
      <c r="C45" s="817"/>
      <c r="D45" s="67" t="s">
        <v>116</v>
      </c>
      <c r="E45" s="71">
        <v>0</v>
      </c>
    </row>
    <row r="46" spans="1:5" ht="16" outlineLevel="1">
      <c r="A46" s="816"/>
      <c r="B46" s="817"/>
      <c r="C46" s="817"/>
      <c r="D46" s="67" t="s">
        <v>117</v>
      </c>
      <c r="E46" s="71">
        <v>0</v>
      </c>
    </row>
    <row r="47" spans="1:5" ht="16" outlineLevel="1">
      <c r="A47" s="816"/>
      <c r="B47" s="817"/>
      <c r="C47" s="817"/>
      <c r="D47" s="67" t="s">
        <v>118</v>
      </c>
      <c r="E47" s="71">
        <v>0</v>
      </c>
    </row>
    <row r="48" spans="1:5" ht="16" outlineLevel="1">
      <c r="A48" s="816"/>
      <c r="B48" s="817"/>
      <c r="C48" s="817"/>
      <c r="D48" s="67" t="s">
        <v>119</v>
      </c>
      <c r="E48" s="71">
        <v>0</v>
      </c>
    </row>
    <row r="49" spans="1:5" ht="16" outlineLevel="1">
      <c r="A49" s="816"/>
      <c r="B49" s="817"/>
      <c r="C49" s="817"/>
      <c r="D49" s="67" t="s">
        <v>120</v>
      </c>
      <c r="E49" s="71">
        <v>0</v>
      </c>
    </row>
    <row r="50" spans="1:5" ht="16" outlineLevel="1">
      <c r="A50" s="816"/>
      <c r="B50" s="817"/>
      <c r="C50" s="817"/>
      <c r="D50" s="67" t="s">
        <v>121</v>
      </c>
      <c r="E50" s="71">
        <v>0</v>
      </c>
    </row>
    <row r="51" spans="1:5" ht="16" outlineLevel="1">
      <c r="A51" s="816"/>
      <c r="B51" s="817"/>
      <c r="C51" s="817"/>
      <c r="D51" s="67" t="s">
        <v>122</v>
      </c>
      <c r="E51" s="71">
        <v>0</v>
      </c>
    </row>
    <row r="52" spans="1:5" ht="16" outlineLevel="1">
      <c r="A52" s="816"/>
      <c r="B52" s="817"/>
      <c r="C52" s="817"/>
      <c r="D52" s="67" t="s">
        <v>123</v>
      </c>
      <c r="E52" s="71">
        <v>0</v>
      </c>
    </row>
    <row r="53" spans="1:5" ht="17" outlineLevel="1" thickBot="1">
      <c r="A53" s="816"/>
      <c r="B53" s="817"/>
      <c r="C53" s="817"/>
      <c r="D53" s="68" t="s">
        <v>124</v>
      </c>
      <c r="E53" s="72">
        <v>0</v>
      </c>
    </row>
  </sheetData>
  <mergeCells count="17">
    <mergeCell ref="A34:A43"/>
    <mergeCell ref="B34:B43"/>
    <mergeCell ref="C34:C43"/>
    <mergeCell ref="A44:A53"/>
    <mergeCell ref="B44:B53"/>
    <mergeCell ref="C44:C53"/>
    <mergeCell ref="A14:A23"/>
    <mergeCell ref="B14:B23"/>
    <mergeCell ref="C14:C23"/>
    <mergeCell ref="A24:A33"/>
    <mergeCell ref="B24:B33"/>
    <mergeCell ref="C24:C33"/>
    <mergeCell ref="A1:D1"/>
    <mergeCell ref="A3:C3"/>
    <mergeCell ref="A4:A13"/>
    <mergeCell ref="B4:B13"/>
    <mergeCell ref="C4:C13"/>
  </mergeCells>
  <pageMargins left="0.7" right="0.7" top="0.75" bottom="0.75" header="0.3" footer="0.3"/>
  <pageSetup paperSize="9" scale="9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CC"/>
    <outlinePr summaryBelow="0" summaryRight="0"/>
  </sheetPr>
  <dimension ref="A1:J170"/>
  <sheetViews>
    <sheetView topLeftCell="E1" zoomScaleNormal="100" zoomScaleSheetLayoutView="100" workbookViewId="0">
      <selection activeCell="H27" sqref="H27"/>
    </sheetView>
  </sheetViews>
  <sheetFormatPr baseColWidth="10" defaultColWidth="8.83203125" defaultRowHeight="15" outlineLevelRow="2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10" width="19.33203125" customWidth="1" outlineLevel="1"/>
  </cols>
  <sheetData>
    <row r="1" spans="1:10" ht="35.25" customHeight="1" thickBot="1">
      <c r="A1" s="812" t="s">
        <v>216</v>
      </c>
      <c r="B1" s="812"/>
      <c r="C1" s="812"/>
      <c r="D1" s="813"/>
      <c r="E1" s="69" t="s">
        <v>125</v>
      </c>
      <c r="F1" s="294" t="s">
        <v>538</v>
      </c>
      <c r="G1" s="294" t="s">
        <v>243</v>
      </c>
      <c r="H1" s="294" t="s">
        <v>244</v>
      </c>
      <c r="I1" s="294" t="s">
        <v>245</v>
      </c>
      <c r="J1" s="294" t="s">
        <v>246</v>
      </c>
    </row>
    <row r="2" spans="1:10" ht="16" thickBot="1">
      <c r="A2" s="39" t="s">
        <v>217</v>
      </c>
      <c r="B2" s="74" t="s">
        <v>218</v>
      </c>
      <c r="C2" s="74" t="s">
        <v>219</v>
      </c>
      <c r="D2" s="74" t="s">
        <v>111</v>
      </c>
      <c r="E2" s="16"/>
      <c r="F2" s="16"/>
      <c r="G2" s="16"/>
      <c r="H2" s="16"/>
      <c r="I2" s="16"/>
      <c r="J2" s="16"/>
    </row>
    <row r="3" spans="1:10" ht="16" thickBot="1">
      <c r="A3" s="819" t="s">
        <v>247</v>
      </c>
      <c r="B3" s="820"/>
      <c r="C3" s="820"/>
      <c r="D3" s="79"/>
      <c r="E3" s="76">
        <f t="shared" ref="E3:J3" si="0">E4+E25</f>
        <v>6377239.75</v>
      </c>
      <c r="F3" s="77">
        <f t="shared" ref="F3" si="1">F4+F25</f>
        <v>1281000</v>
      </c>
      <c r="G3" s="77">
        <f t="shared" si="0"/>
        <v>606522</v>
      </c>
      <c r="H3" s="77">
        <f t="shared" si="0"/>
        <v>1553853.75</v>
      </c>
      <c r="I3" s="253">
        <f t="shared" si="0"/>
        <v>2177260</v>
      </c>
      <c r="J3" s="253">
        <f t="shared" si="0"/>
        <v>758604</v>
      </c>
    </row>
    <row r="4" spans="1:10" ht="16" outlineLevel="1" thickBot="1">
      <c r="A4" s="16" t="s">
        <v>221</v>
      </c>
      <c r="B4" s="16"/>
      <c r="C4" s="16"/>
      <c r="D4" s="27"/>
      <c r="E4" s="76">
        <f t="shared" ref="E4:J4" si="2">SUM(E5:E24)</f>
        <v>1156303.75</v>
      </c>
      <c r="F4" s="77">
        <f t="shared" ref="F4" si="3">SUM(F5:F24)</f>
        <v>0</v>
      </c>
      <c r="G4" s="77">
        <f t="shared" si="2"/>
        <v>0</v>
      </c>
      <c r="H4" s="77">
        <f t="shared" si="2"/>
        <v>513303.75</v>
      </c>
      <c r="I4" s="253">
        <f t="shared" si="2"/>
        <v>643000</v>
      </c>
      <c r="J4" s="253">
        <f t="shared" si="2"/>
        <v>0</v>
      </c>
    </row>
    <row r="5" spans="1:10" ht="16" outlineLevel="2">
      <c r="A5" s="816" t="s">
        <v>248</v>
      </c>
      <c r="B5" s="817" t="s">
        <v>225</v>
      </c>
      <c r="C5" s="817">
        <v>711003</v>
      </c>
      <c r="D5" s="66" t="s">
        <v>115</v>
      </c>
      <c r="E5" s="63">
        <f t="shared" ref="E5:E24" si="4">SUM(G5:J5)</f>
        <v>912178.75</v>
      </c>
      <c r="F5" s="123">
        <v>0</v>
      </c>
      <c r="G5" s="123">
        <v>0</v>
      </c>
      <c r="H5" s="124">
        <f>'Rozpočet - HW a licencie'!E5</f>
        <v>378678.75</v>
      </c>
      <c r="I5" s="254">
        <f>'Rozpočet - HW a licencie'!D4+'Rozpočet - HW a licencie'!E7</f>
        <v>533500</v>
      </c>
      <c r="J5" s="254">
        <v>0</v>
      </c>
    </row>
    <row r="6" spans="1:10" ht="16" outlineLevel="2">
      <c r="A6" s="816"/>
      <c r="B6" s="817"/>
      <c r="C6" s="817"/>
      <c r="D6" s="67" t="s">
        <v>116</v>
      </c>
      <c r="E6" s="64">
        <f t="shared" si="4"/>
        <v>244125</v>
      </c>
      <c r="F6" s="125">
        <v>0</v>
      </c>
      <c r="G6" s="125">
        <v>0</v>
      </c>
      <c r="H6" s="126">
        <f>'Rozpočet - HW a licencie'!E6</f>
        <v>134625</v>
      </c>
      <c r="I6" s="255">
        <f>'Rozpočet - HW a licencie'!D4</f>
        <v>109500</v>
      </c>
      <c r="J6" s="255">
        <v>0</v>
      </c>
    </row>
    <row r="7" spans="1:10" ht="16" outlineLevel="2">
      <c r="A7" s="816"/>
      <c r="B7" s="817"/>
      <c r="C7" s="817"/>
      <c r="D7" s="67" t="s">
        <v>117</v>
      </c>
      <c r="E7" s="64">
        <f t="shared" si="4"/>
        <v>0</v>
      </c>
      <c r="F7" s="125">
        <v>0</v>
      </c>
      <c r="G7" s="125">
        <v>0</v>
      </c>
      <c r="H7" s="126">
        <v>0</v>
      </c>
      <c r="I7" s="255">
        <v>0</v>
      </c>
      <c r="J7" s="255">
        <v>0</v>
      </c>
    </row>
    <row r="8" spans="1:10" ht="16" outlineLevel="2">
      <c r="A8" s="816"/>
      <c r="B8" s="817"/>
      <c r="C8" s="817"/>
      <c r="D8" s="67" t="s">
        <v>118</v>
      </c>
      <c r="E8" s="64">
        <f t="shared" si="4"/>
        <v>0</v>
      </c>
      <c r="F8" s="125">
        <v>0</v>
      </c>
      <c r="G8" s="125">
        <v>0</v>
      </c>
      <c r="H8" s="126">
        <v>0</v>
      </c>
      <c r="I8" s="255">
        <v>0</v>
      </c>
      <c r="J8" s="255">
        <v>0</v>
      </c>
    </row>
    <row r="9" spans="1:10" ht="16" outlineLevel="2">
      <c r="A9" s="816"/>
      <c r="B9" s="817"/>
      <c r="C9" s="817"/>
      <c r="D9" s="67" t="s">
        <v>119</v>
      </c>
      <c r="E9" s="64">
        <f t="shared" si="4"/>
        <v>0</v>
      </c>
      <c r="F9" s="125">
        <v>0</v>
      </c>
      <c r="G9" s="125">
        <v>0</v>
      </c>
      <c r="H9" s="126">
        <v>0</v>
      </c>
      <c r="I9" s="255">
        <v>0</v>
      </c>
      <c r="J9" s="255">
        <v>0</v>
      </c>
    </row>
    <row r="10" spans="1:10" ht="16" outlineLevel="2">
      <c r="A10" s="816"/>
      <c r="B10" s="817"/>
      <c r="C10" s="817"/>
      <c r="D10" s="67" t="s">
        <v>120</v>
      </c>
      <c r="E10" s="64">
        <f t="shared" si="4"/>
        <v>0</v>
      </c>
      <c r="F10" s="125">
        <v>0</v>
      </c>
      <c r="G10" s="125">
        <v>0</v>
      </c>
      <c r="H10" s="126">
        <v>0</v>
      </c>
      <c r="I10" s="255">
        <v>0</v>
      </c>
      <c r="J10" s="255">
        <v>0</v>
      </c>
    </row>
    <row r="11" spans="1:10" ht="16" outlineLevel="2">
      <c r="A11" s="816"/>
      <c r="B11" s="817"/>
      <c r="C11" s="817"/>
      <c r="D11" s="67" t="s">
        <v>121</v>
      </c>
      <c r="E11" s="64">
        <f t="shared" si="4"/>
        <v>0</v>
      </c>
      <c r="F11" s="125">
        <v>0</v>
      </c>
      <c r="G11" s="125">
        <v>0</v>
      </c>
      <c r="H11" s="126">
        <v>0</v>
      </c>
      <c r="I11" s="255">
        <v>0</v>
      </c>
      <c r="J11" s="255">
        <v>0</v>
      </c>
    </row>
    <row r="12" spans="1:10" ht="16" outlineLevel="2">
      <c r="A12" s="816"/>
      <c r="B12" s="817"/>
      <c r="C12" s="817"/>
      <c r="D12" s="67" t="s">
        <v>122</v>
      </c>
      <c r="E12" s="64">
        <f t="shared" si="4"/>
        <v>0</v>
      </c>
      <c r="F12" s="125">
        <v>0</v>
      </c>
      <c r="G12" s="125">
        <v>0</v>
      </c>
      <c r="H12" s="126">
        <v>0</v>
      </c>
      <c r="I12" s="255">
        <v>0</v>
      </c>
      <c r="J12" s="255">
        <v>0</v>
      </c>
    </row>
    <row r="13" spans="1:10" ht="16" outlineLevel="2">
      <c r="A13" s="816"/>
      <c r="B13" s="817"/>
      <c r="C13" s="817"/>
      <c r="D13" s="67" t="s">
        <v>123</v>
      </c>
      <c r="E13" s="64">
        <f t="shared" si="4"/>
        <v>0</v>
      </c>
      <c r="F13" s="125">
        <v>0</v>
      </c>
      <c r="G13" s="125">
        <v>0</v>
      </c>
      <c r="H13" s="126">
        <v>0</v>
      </c>
      <c r="I13" s="255">
        <v>0</v>
      </c>
      <c r="J13" s="255">
        <v>0</v>
      </c>
    </row>
    <row r="14" spans="1:10" ht="17" outlineLevel="2" thickBot="1">
      <c r="A14" s="816"/>
      <c r="B14" s="817"/>
      <c r="C14" s="817"/>
      <c r="D14" s="68" t="s">
        <v>124</v>
      </c>
      <c r="E14" s="64">
        <f t="shared" si="4"/>
        <v>0</v>
      </c>
      <c r="F14" s="127">
        <v>0</v>
      </c>
      <c r="G14" s="127">
        <v>0</v>
      </c>
      <c r="H14" s="128">
        <v>0</v>
      </c>
      <c r="I14" s="256">
        <v>0</v>
      </c>
      <c r="J14" s="256">
        <v>0</v>
      </c>
    </row>
    <row r="15" spans="1:10" ht="16" outlineLevel="2">
      <c r="A15" s="816" t="s">
        <v>248</v>
      </c>
      <c r="B15" s="817" t="s">
        <v>230</v>
      </c>
      <c r="C15" s="817">
        <v>633013</v>
      </c>
      <c r="D15" s="66" t="s">
        <v>115</v>
      </c>
      <c r="E15" s="63">
        <f t="shared" si="4"/>
        <v>0</v>
      </c>
      <c r="F15" s="123">
        <v>0</v>
      </c>
      <c r="G15" s="123">
        <v>0</v>
      </c>
      <c r="H15" s="124">
        <v>0</v>
      </c>
      <c r="I15" s="254">
        <v>0</v>
      </c>
      <c r="J15" s="254">
        <v>0</v>
      </c>
    </row>
    <row r="16" spans="1:10" ht="16" outlineLevel="2">
      <c r="A16" s="816"/>
      <c r="B16" s="817"/>
      <c r="C16" s="817"/>
      <c r="D16" s="67" t="s">
        <v>116</v>
      </c>
      <c r="E16" s="64">
        <f t="shared" si="4"/>
        <v>0</v>
      </c>
      <c r="F16" s="125">
        <v>0</v>
      </c>
      <c r="G16" s="125">
        <v>0</v>
      </c>
      <c r="H16" s="126">
        <v>0</v>
      </c>
      <c r="I16" s="255">
        <v>0</v>
      </c>
      <c r="J16" s="255">
        <v>0</v>
      </c>
    </row>
    <row r="17" spans="1:10" ht="16" outlineLevel="2">
      <c r="A17" s="816"/>
      <c r="B17" s="817"/>
      <c r="C17" s="817"/>
      <c r="D17" s="67" t="s">
        <v>117</v>
      </c>
      <c r="E17" s="64">
        <f t="shared" si="4"/>
        <v>0</v>
      </c>
      <c r="F17" s="125">
        <v>0</v>
      </c>
      <c r="G17" s="125">
        <v>0</v>
      </c>
      <c r="H17" s="126">
        <v>0</v>
      </c>
      <c r="I17" s="255">
        <v>0</v>
      </c>
      <c r="J17" s="255">
        <v>0</v>
      </c>
    </row>
    <row r="18" spans="1:10" ht="16" outlineLevel="2">
      <c r="A18" s="816"/>
      <c r="B18" s="817"/>
      <c r="C18" s="817"/>
      <c r="D18" s="67" t="s">
        <v>118</v>
      </c>
      <c r="E18" s="64">
        <f t="shared" si="4"/>
        <v>0</v>
      </c>
      <c r="F18" s="125">
        <v>0</v>
      </c>
      <c r="G18" s="125">
        <v>0</v>
      </c>
      <c r="H18" s="126">
        <v>0</v>
      </c>
      <c r="I18" s="255">
        <v>0</v>
      </c>
      <c r="J18" s="255">
        <v>0</v>
      </c>
    </row>
    <row r="19" spans="1:10" ht="16" outlineLevel="2">
      <c r="A19" s="816"/>
      <c r="B19" s="817"/>
      <c r="C19" s="817"/>
      <c r="D19" s="67" t="s">
        <v>119</v>
      </c>
      <c r="E19" s="64">
        <f t="shared" si="4"/>
        <v>0</v>
      </c>
      <c r="F19" s="125">
        <v>0</v>
      </c>
      <c r="G19" s="125">
        <v>0</v>
      </c>
      <c r="H19" s="126">
        <v>0</v>
      </c>
      <c r="I19" s="255">
        <v>0</v>
      </c>
      <c r="J19" s="255">
        <v>0</v>
      </c>
    </row>
    <row r="20" spans="1:10" ht="16" outlineLevel="2">
      <c r="A20" s="816"/>
      <c r="B20" s="817"/>
      <c r="C20" s="817"/>
      <c r="D20" s="67" t="s">
        <v>120</v>
      </c>
      <c r="E20" s="64">
        <f t="shared" si="4"/>
        <v>0</v>
      </c>
      <c r="F20" s="125">
        <v>0</v>
      </c>
      <c r="G20" s="125">
        <v>0</v>
      </c>
      <c r="H20" s="126">
        <v>0</v>
      </c>
      <c r="I20" s="255">
        <v>0</v>
      </c>
      <c r="J20" s="255">
        <v>0</v>
      </c>
    </row>
    <row r="21" spans="1:10" ht="16" outlineLevel="2">
      <c r="A21" s="816"/>
      <c r="B21" s="817"/>
      <c r="C21" s="817"/>
      <c r="D21" s="67" t="s">
        <v>121</v>
      </c>
      <c r="E21" s="64">
        <f t="shared" si="4"/>
        <v>0</v>
      </c>
      <c r="F21" s="125">
        <v>0</v>
      </c>
      <c r="G21" s="125">
        <v>0</v>
      </c>
      <c r="H21" s="126">
        <v>0</v>
      </c>
      <c r="I21" s="255">
        <v>0</v>
      </c>
      <c r="J21" s="255">
        <v>0</v>
      </c>
    </row>
    <row r="22" spans="1:10" ht="16" outlineLevel="2">
      <c r="A22" s="816"/>
      <c r="B22" s="817"/>
      <c r="C22" s="817"/>
      <c r="D22" s="67" t="s">
        <v>122</v>
      </c>
      <c r="E22" s="64">
        <f t="shared" si="4"/>
        <v>0</v>
      </c>
      <c r="F22" s="125">
        <v>0</v>
      </c>
      <c r="G22" s="125">
        <v>0</v>
      </c>
      <c r="H22" s="126">
        <v>0</v>
      </c>
      <c r="I22" s="255">
        <v>0</v>
      </c>
      <c r="J22" s="255">
        <v>0</v>
      </c>
    </row>
    <row r="23" spans="1:10" ht="16" outlineLevel="2">
      <c r="A23" s="816"/>
      <c r="B23" s="817"/>
      <c r="C23" s="817"/>
      <c r="D23" s="67" t="s">
        <v>123</v>
      </c>
      <c r="E23" s="64">
        <f t="shared" si="4"/>
        <v>0</v>
      </c>
      <c r="F23" s="125">
        <v>0</v>
      </c>
      <c r="G23" s="125">
        <v>0</v>
      </c>
      <c r="H23" s="126">
        <v>0</v>
      </c>
      <c r="I23" s="255">
        <v>0</v>
      </c>
      <c r="J23" s="255">
        <v>0</v>
      </c>
    </row>
    <row r="24" spans="1:10" ht="17" outlineLevel="2" thickBot="1">
      <c r="A24" s="816"/>
      <c r="B24" s="817"/>
      <c r="C24" s="817"/>
      <c r="D24" s="68" t="s">
        <v>124</v>
      </c>
      <c r="E24" s="65">
        <f t="shared" si="4"/>
        <v>0</v>
      </c>
      <c r="F24" s="127">
        <v>0</v>
      </c>
      <c r="G24" s="127">
        <v>0</v>
      </c>
      <c r="H24" s="128">
        <v>0</v>
      </c>
      <c r="I24" s="256">
        <v>0</v>
      </c>
      <c r="J24" s="256">
        <v>0</v>
      </c>
    </row>
    <row r="25" spans="1:10" ht="16" outlineLevel="1" thickBot="1">
      <c r="A25" s="16" t="s">
        <v>86</v>
      </c>
      <c r="B25" s="16"/>
      <c r="C25" s="16"/>
      <c r="D25" s="27"/>
      <c r="E25" s="133">
        <f t="shared" ref="E25:J25" si="5">SUM(E26:E55)</f>
        <v>5220936</v>
      </c>
      <c r="F25" s="134">
        <f t="shared" ref="F25" si="6">SUM(F26:F55)</f>
        <v>1281000</v>
      </c>
      <c r="G25" s="134">
        <f t="shared" si="5"/>
        <v>606522</v>
      </c>
      <c r="H25" s="134">
        <f t="shared" si="5"/>
        <v>1040550</v>
      </c>
      <c r="I25" s="257">
        <f t="shared" si="5"/>
        <v>1534260</v>
      </c>
      <c r="J25" s="257">
        <f t="shared" si="5"/>
        <v>758604</v>
      </c>
    </row>
    <row r="26" spans="1:10" ht="16" outlineLevel="2">
      <c r="A26" s="816" t="s">
        <v>249</v>
      </c>
      <c r="B26" s="817" t="s">
        <v>225</v>
      </c>
      <c r="C26" s="817">
        <v>711003</v>
      </c>
      <c r="D26" s="66" t="s">
        <v>115</v>
      </c>
      <c r="E26" s="70">
        <f>SUM(F26:J26)</f>
        <v>1816500</v>
      </c>
      <c r="F26" s="114">
        <f>'Rozpočet - vývoj Aplikácií'!AH6+'Rozpočet - vývoj Aplikácií'!AH7/2+'Rozpočet - vývoj Aplikácií'!AH8/2</f>
        <v>861000</v>
      </c>
      <c r="G26" s="114">
        <v>0</v>
      </c>
      <c r="H26" s="115">
        <f>'Rozpočet - vývoj Aplikácií'!AH12</f>
        <v>196980</v>
      </c>
      <c r="I26" s="258">
        <f>'Rozpočet - vývoj Aplikácií'!AH14+'Rozpočet - vývoj Aplikácií'!AH25/2</f>
        <v>589680</v>
      </c>
      <c r="J26" s="258">
        <f>'Rozpočet - vývoj Aplikácií'!AH16</f>
        <v>168840</v>
      </c>
    </row>
    <row r="27" spans="1:10" ht="16" outlineLevel="2">
      <c r="A27" s="816"/>
      <c r="B27" s="817"/>
      <c r="C27" s="817"/>
      <c r="D27" s="67" t="s">
        <v>116</v>
      </c>
      <c r="E27" s="71">
        <f>SUM(F27:J27)</f>
        <v>3404436</v>
      </c>
      <c r="F27" s="117">
        <f>'Rozpočet - vývoj Aplikácií'!AH7/2+'Rozpočet - vývoj Aplikácií'!AH8/2</f>
        <v>420000</v>
      </c>
      <c r="G27" s="117">
        <f>'Rozpočet - vývoj Aplikácií'!AH10+'Rozpočet - vývoj Aplikácií'!AH21+SUM('Rozpočet - vývoj Aplikácií'!AH30:AH33)+SUM('Rozpočet - vývoj Aplikácií'!AH51:AH53)</f>
        <v>606522</v>
      </c>
      <c r="H27" s="118">
        <f>'Rozpočet - vývoj Aplikácií'!AH23+SUM('Rozpočet - vývoj Aplikácií'!AH35:AH38)+SUM('Rozpočet - vývoj Aplikácií'!AH55:AH57)</f>
        <v>843570</v>
      </c>
      <c r="I27" s="259">
        <f>'Rozpočet - vývoj Aplikácií'!AH25/2+SUM('Rozpočet - vývoj Aplikácií'!AH40:AH43)+SUM('Rozpočet - vývoj Aplikácií'!AH59:AH61)</f>
        <v>944580</v>
      </c>
      <c r="J27" s="259">
        <f>'Rozpočet - vývoj Aplikácií'!AH27+SUM('Rozpočet - vývoj Aplikácií'!AH45:AH48)+SUM('Rozpočet - vývoj Aplikácií'!AH63:AH65)</f>
        <v>589764</v>
      </c>
    </row>
    <row r="28" spans="1:10" ht="16" outlineLevel="2">
      <c r="A28" s="816"/>
      <c r="B28" s="817"/>
      <c r="C28" s="817"/>
      <c r="D28" s="67" t="s">
        <v>117</v>
      </c>
      <c r="E28" s="71">
        <f t="shared" ref="E28:E34" si="7">SUM(F28:J28)</f>
        <v>0</v>
      </c>
      <c r="F28" s="117">
        <v>0</v>
      </c>
      <c r="G28" s="117">
        <v>0</v>
      </c>
      <c r="H28" s="118">
        <v>0</v>
      </c>
      <c r="I28" s="259">
        <v>0</v>
      </c>
      <c r="J28" s="259">
        <v>0</v>
      </c>
    </row>
    <row r="29" spans="1:10" ht="16" outlineLevel="2">
      <c r="A29" s="816"/>
      <c r="B29" s="817"/>
      <c r="C29" s="817"/>
      <c r="D29" s="67" t="s">
        <v>118</v>
      </c>
      <c r="E29" s="71">
        <f t="shared" si="7"/>
        <v>0</v>
      </c>
      <c r="F29" s="117">
        <v>0</v>
      </c>
      <c r="G29" s="117">
        <v>0</v>
      </c>
      <c r="H29" s="118">
        <v>0</v>
      </c>
      <c r="I29" s="259">
        <v>0</v>
      </c>
      <c r="J29" s="259">
        <v>0</v>
      </c>
    </row>
    <row r="30" spans="1:10" ht="16" outlineLevel="2">
      <c r="A30" s="816"/>
      <c r="B30" s="817"/>
      <c r="C30" s="817"/>
      <c r="D30" s="67" t="s">
        <v>119</v>
      </c>
      <c r="E30" s="71">
        <f t="shared" si="7"/>
        <v>0</v>
      </c>
      <c r="F30" s="117">
        <v>0</v>
      </c>
      <c r="G30" s="117">
        <v>0</v>
      </c>
      <c r="H30" s="118">
        <v>0</v>
      </c>
      <c r="I30" s="259">
        <v>0</v>
      </c>
      <c r="J30" s="259">
        <v>0</v>
      </c>
    </row>
    <row r="31" spans="1:10" ht="16" outlineLevel="2">
      <c r="A31" s="816"/>
      <c r="B31" s="817"/>
      <c r="C31" s="817"/>
      <c r="D31" s="67" t="s">
        <v>120</v>
      </c>
      <c r="E31" s="71">
        <f t="shared" si="7"/>
        <v>0</v>
      </c>
      <c r="F31" s="117">
        <v>0</v>
      </c>
      <c r="G31" s="117">
        <v>0</v>
      </c>
      <c r="H31" s="118">
        <v>0</v>
      </c>
      <c r="I31" s="259">
        <v>0</v>
      </c>
      <c r="J31" s="259">
        <v>0</v>
      </c>
    </row>
    <row r="32" spans="1:10" ht="16" outlineLevel="2">
      <c r="A32" s="816"/>
      <c r="B32" s="817"/>
      <c r="C32" s="817"/>
      <c r="D32" s="67" t="s">
        <v>121</v>
      </c>
      <c r="E32" s="71">
        <f t="shared" si="7"/>
        <v>0</v>
      </c>
      <c r="F32" s="117">
        <v>0</v>
      </c>
      <c r="G32" s="117">
        <v>0</v>
      </c>
      <c r="H32" s="118">
        <v>0</v>
      </c>
      <c r="I32" s="259">
        <v>0</v>
      </c>
      <c r="J32" s="259">
        <v>0</v>
      </c>
    </row>
    <row r="33" spans="1:10" ht="16" outlineLevel="2">
      <c r="A33" s="816"/>
      <c r="B33" s="817"/>
      <c r="C33" s="817"/>
      <c r="D33" s="67" t="s">
        <v>122</v>
      </c>
      <c r="E33" s="71">
        <f t="shared" si="7"/>
        <v>0</v>
      </c>
      <c r="F33" s="117">
        <v>0</v>
      </c>
      <c r="G33" s="117">
        <v>0</v>
      </c>
      <c r="H33" s="118">
        <v>0</v>
      </c>
      <c r="I33" s="259">
        <v>0</v>
      </c>
      <c r="J33" s="259">
        <v>0</v>
      </c>
    </row>
    <row r="34" spans="1:10" ht="16" outlineLevel="2">
      <c r="A34" s="816"/>
      <c r="B34" s="817"/>
      <c r="C34" s="817"/>
      <c r="D34" s="67" t="s">
        <v>123</v>
      </c>
      <c r="E34" s="71">
        <f t="shared" si="7"/>
        <v>0</v>
      </c>
      <c r="F34" s="117">
        <v>0</v>
      </c>
      <c r="G34" s="117">
        <v>0</v>
      </c>
      <c r="H34" s="118">
        <v>0</v>
      </c>
      <c r="I34" s="259">
        <v>0</v>
      </c>
      <c r="J34" s="259">
        <v>0</v>
      </c>
    </row>
    <row r="35" spans="1:10" ht="17" outlineLevel="2" thickBot="1">
      <c r="A35" s="816"/>
      <c r="B35" s="817"/>
      <c r="C35" s="817"/>
      <c r="D35" s="68" t="s">
        <v>124</v>
      </c>
      <c r="E35" s="72">
        <f>SUM(F35:J35)</f>
        <v>0</v>
      </c>
      <c r="F35" s="120">
        <v>0</v>
      </c>
      <c r="G35" s="120">
        <v>0</v>
      </c>
      <c r="H35" s="121">
        <v>0</v>
      </c>
      <c r="I35" s="260">
        <v>0</v>
      </c>
      <c r="J35" s="260">
        <v>0</v>
      </c>
    </row>
    <row r="36" spans="1:10" ht="16" outlineLevel="2">
      <c r="A36" s="816" t="s">
        <v>249</v>
      </c>
      <c r="B36" s="817" t="s">
        <v>230</v>
      </c>
      <c r="C36" s="817">
        <v>633013</v>
      </c>
      <c r="D36" s="66" t="s">
        <v>115</v>
      </c>
      <c r="E36" s="70">
        <f>SUM(F36:J36)</f>
        <v>0</v>
      </c>
      <c r="F36" s="114">
        <v>0</v>
      </c>
      <c r="G36" s="114">
        <v>0</v>
      </c>
      <c r="H36" s="115">
        <v>0</v>
      </c>
      <c r="I36" s="258">
        <v>0</v>
      </c>
      <c r="J36" s="258">
        <v>0</v>
      </c>
    </row>
    <row r="37" spans="1:10" ht="16" outlineLevel="2">
      <c r="A37" s="816"/>
      <c r="B37" s="817"/>
      <c r="C37" s="817"/>
      <c r="D37" s="67" t="s">
        <v>116</v>
      </c>
      <c r="E37" s="71">
        <f>SUM(F37:J37)</f>
        <v>0</v>
      </c>
      <c r="F37" s="117">
        <v>0</v>
      </c>
      <c r="G37" s="117">
        <v>0</v>
      </c>
      <c r="H37" s="118">
        <v>0</v>
      </c>
      <c r="I37" s="259">
        <v>0</v>
      </c>
      <c r="J37" s="259">
        <v>0</v>
      </c>
    </row>
    <row r="38" spans="1:10" ht="16" outlineLevel="2">
      <c r="A38" s="816"/>
      <c r="B38" s="817"/>
      <c r="C38" s="817"/>
      <c r="D38" s="67" t="s">
        <v>117</v>
      </c>
      <c r="E38" s="71">
        <f t="shared" ref="E38:E44" si="8">SUM(F38:J38)</f>
        <v>0</v>
      </c>
      <c r="F38" s="117">
        <v>0</v>
      </c>
      <c r="G38" s="117">
        <v>0</v>
      </c>
      <c r="H38" s="118">
        <v>0</v>
      </c>
      <c r="I38" s="259">
        <v>0</v>
      </c>
      <c r="J38" s="259">
        <v>0</v>
      </c>
    </row>
    <row r="39" spans="1:10" ht="16" outlineLevel="2">
      <c r="A39" s="816"/>
      <c r="B39" s="817"/>
      <c r="C39" s="817"/>
      <c r="D39" s="67" t="s">
        <v>118</v>
      </c>
      <c r="E39" s="71">
        <f t="shared" si="8"/>
        <v>0</v>
      </c>
      <c r="F39" s="117">
        <v>0</v>
      </c>
      <c r="G39" s="117">
        <v>0</v>
      </c>
      <c r="H39" s="118">
        <v>0</v>
      </c>
      <c r="I39" s="259">
        <v>0</v>
      </c>
      <c r="J39" s="259">
        <v>0</v>
      </c>
    </row>
    <row r="40" spans="1:10" ht="16" outlineLevel="2">
      <c r="A40" s="816"/>
      <c r="B40" s="817"/>
      <c r="C40" s="817"/>
      <c r="D40" s="67" t="s">
        <v>119</v>
      </c>
      <c r="E40" s="71">
        <f t="shared" si="8"/>
        <v>0</v>
      </c>
      <c r="F40" s="117">
        <v>0</v>
      </c>
      <c r="G40" s="117">
        <v>0</v>
      </c>
      <c r="H40" s="118">
        <v>0</v>
      </c>
      <c r="I40" s="259">
        <v>0</v>
      </c>
      <c r="J40" s="259">
        <v>0</v>
      </c>
    </row>
    <row r="41" spans="1:10" ht="16" outlineLevel="2">
      <c r="A41" s="816"/>
      <c r="B41" s="817"/>
      <c r="C41" s="817"/>
      <c r="D41" s="67" t="s">
        <v>120</v>
      </c>
      <c r="E41" s="71">
        <f t="shared" si="8"/>
        <v>0</v>
      </c>
      <c r="F41" s="117">
        <v>0</v>
      </c>
      <c r="G41" s="117">
        <v>0</v>
      </c>
      <c r="H41" s="118">
        <v>0</v>
      </c>
      <c r="I41" s="259">
        <v>0</v>
      </c>
      <c r="J41" s="259">
        <v>0</v>
      </c>
    </row>
    <row r="42" spans="1:10" ht="16" outlineLevel="2">
      <c r="A42" s="816"/>
      <c r="B42" s="817"/>
      <c r="C42" s="817"/>
      <c r="D42" s="67" t="s">
        <v>121</v>
      </c>
      <c r="E42" s="71">
        <f t="shared" si="8"/>
        <v>0</v>
      </c>
      <c r="F42" s="117">
        <v>0</v>
      </c>
      <c r="G42" s="117">
        <v>0</v>
      </c>
      <c r="H42" s="118">
        <v>0</v>
      </c>
      <c r="I42" s="259">
        <v>0</v>
      </c>
      <c r="J42" s="259">
        <v>0</v>
      </c>
    </row>
    <row r="43" spans="1:10" ht="16" outlineLevel="2">
      <c r="A43" s="816"/>
      <c r="B43" s="817"/>
      <c r="C43" s="817"/>
      <c r="D43" s="67" t="s">
        <v>122</v>
      </c>
      <c r="E43" s="71">
        <f t="shared" si="8"/>
        <v>0</v>
      </c>
      <c r="F43" s="117">
        <v>0</v>
      </c>
      <c r="G43" s="117">
        <v>0</v>
      </c>
      <c r="H43" s="118">
        <v>0</v>
      </c>
      <c r="I43" s="259">
        <v>0</v>
      </c>
      <c r="J43" s="259">
        <v>0</v>
      </c>
    </row>
    <row r="44" spans="1:10" ht="16" outlineLevel="2">
      <c r="A44" s="816"/>
      <c r="B44" s="817"/>
      <c r="C44" s="817"/>
      <c r="D44" s="67" t="s">
        <v>123</v>
      </c>
      <c r="E44" s="71">
        <f t="shared" si="8"/>
        <v>0</v>
      </c>
      <c r="F44" s="117">
        <v>0</v>
      </c>
      <c r="G44" s="117">
        <v>0</v>
      </c>
      <c r="H44" s="118">
        <v>0</v>
      </c>
      <c r="I44" s="259">
        <v>0</v>
      </c>
      <c r="J44" s="259">
        <v>0</v>
      </c>
    </row>
    <row r="45" spans="1:10" ht="17" outlineLevel="2" thickBot="1">
      <c r="A45" s="816"/>
      <c r="B45" s="817"/>
      <c r="C45" s="817"/>
      <c r="D45" s="68" t="s">
        <v>124</v>
      </c>
      <c r="E45" s="72">
        <f>SUM(F45:J45)</f>
        <v>0</v>
      </c>
      <c r="F45" s="120">
        <v>0</v>
      </c>
      <c r="G45" s="120">
        <v>0</v>
      </c>
      <c r="H45" s="121">
        <v>0</v>
      </c>
      <c r="I45" s="260">
        <v>0</v>
      </c>
      <c r="J45" s="260">
        <v>0</v>
      </c>
    </row>
    <row r="46" spans="1:10" ht="16" outlineLevel="2">
      <c r="A46" s="816" t="s">
        <v>234</v>
      </c>
      <c r="B46" s="817" t="s">
        <v>230</v>
      </c>
      <c r="C46" s="817">
        <v>637001</v>
      </c>
      <c r="D46" s="66" t="s">
        <v>115</v>
      </c>
      <c r="E46" s="70">
        <f>SUM(F46:J46)</f>
        <v>0</v>
      </c>
      <c r="F46" s="114">
        <v>0</v>
      </c>
      <c r="G46" s="114">
        <v>0</v>
      </c>
      <c r="H46" s="115">
        <v>0</v>
      </c>
      <c r="I46" s="258">
        <v>0</v>
      </c>
      <c r="J46" s="258">
        <v>0</v>
      </c>
    </row>
    <row r="47" spans="1:10" ht="16" outlineLevel="2">
      <c r="A47" s="816"/>
      <c r="B47" s="817"/>
      <c r="C47" s="817"/>
      <c r="D47" s="67" t="s">
        <v>116</v>
      </c>
      <c r="E47" s="71">
        <f>SUM(F47:J47)</f>
        <v>0</v>
      </c>
      <c r="F47" s="117">
        <v>0</v>
      </c>
      <c r="G47" s="117">
        <v>0</v>
      </c>
      <c r="H47" s="118">
        <v>0</v>
      </c>
      <c r="I47" s="259">
        <v>0</v>
      </c>
      <c r="J47" s="259">
        <v>0</v>
      </c>
    </row>
    <row r="48" spans="1:10" ht="16" outlineLevel="2">
      <c r="A48" s="816"/>
      <c r="B48" s="817"/>
      <c r="C48" s="817"/>
      <c r="D48" s="67" t="s">
        <v>117</v>
      </c>
      <c r="E48" s="71">
        <f t="shared" ref="E48:E54" si="9">SUM(F48:J48)</f>
        <v>0</v>
      </c>
      <c r="F48" s="117">
        <v>0</v>
      </c>
      <c r="G48" s="117">
        <v>0</v>
      </c>
      <c r="H48" s="118">
        <v>0</v>
      </c>
      <c r="I48" s="259">
        <v>0</v>
      </c>
      <c r="J48" s="259">
        <v>0</v>
      </c>
    </row>
    <row r="49" spans="1:10" ht="16" outlineLevel="2">
      <c r="A49" s="816"/>
      <c r="B49" s="817"/>
      <c r="C49" s="817"/>
      <c r="D49" s="67" t="s">
        <v>118</v>
      </c>
      <c r="E49" s="71">
        <f t="shared" si="9"/>
        <v>0</v>
      </c>
      <c r="F49" s="117">
        <v>0</v>
      </c>
      <c r="G49" s="117">
        <v>0</v>
      </c>
      <c r="H49" s="118">
        <v>0</v>
      </c>
      <c r="I49" s="259">
        <v>0</v>
      </c>
      <c r="J49" s="259">
        <v>0</v>
      </c>
    </row>
    <row r="50" spans="1:10" ht="16" outlineLevel="2">
      <c r="A50" s="816"/>
      <c r="B50" s="817"/>
      <c r="C50" s="817"/>
      <c r="D50" s="67" t="s">
        <v>119</v>
      </c>
      <c r="E50" s="71">
        <f t="shared" si="9"/>
        <v>0</v>
      </c>
      <c r="F50" s="117">
        <v>0</v>
      </c>
      <c r="G50" s="117">
        <v>0</v>
      </c>
      <c r="H50" s="118">
        <v>0</v>
      </c>
      <c r="I50" s="259">
        <v>0</v>
      </c>
      <c r="J50" s="259">
        <v>0</v>
      </c>
    </row>
    <row r="51" spans="1:10" ht="16" outlineLevel="2">
      <c r="A51" s="816"/>
      <c r="B51" s="817"/>
      <c r="C51" s="817"/>
      <c r="D51" s="67" t="s">
        <v>120</v>
      </c>
      <c r="E51" s="71">
        <f t="shared" si="9"/>
        <v>0</v>
      </c>
      <c r="F51" s="117">
        <v>0</v>
      </c>
      <c r="G51" s="117">
        <v>0</v>
      </c>
      <c r="H51" s="118">
        <v>0</v>
      </c>
      <c r="I51" s="259">
        <v>0</v>
      </c>
      <c r="J51" s="259">
        <v>0</v>
      </c>
    </row>
    <row r="52" spans="1:10" ht="16" outlineLevel="2">
      <c r="A52" s="816"/>
      <c r="B52" s="817"/>
      <c r="C52" s="817"/>
      <c r="D52" s="67" t="s">
        <v>121</v>
      </c>
      <c r="E52" s="71">
        <f t="shared" si="9"/>
        <v>0</v>
      </c>
      <c r="F52" s="117">
        <v>0</v>
      </c>
      <c r="G52" s="117">
        <v>0</v>
      </c>
      <c r="H52" s="118">
        <v>0</v>
      </c>
      <c r="I52" s="259">
        <v>0</v>
      </c>
      <c r="J52" s="259">
        <v>0</v>
      </c>
    </row>
    <row r="53" spans="1:10" ht="16" outlineLevel="2">
      <c r="A53" s="816"/>
      <c r="B53" s="817"/>
      <c r="C53" s="817"/>
      <c r="D53" s="67" t="s">
        <v>122</v>
      </c>
      <c r="E53" s="71">
        <f t="shared" si="9"/>
        <v>0</v>
      </c>
      <c r="F53" s="117">
        <v>0</v>
      </c>
      <c r="G53" s="117">
        <v>0</v>
      </c>
      <c r="H53" s="118">
        <v>0</v>
      </c>
      <c r="I53" s="259">
        <v>0</v>
      </c>
      <c r="J53" s="259">
        <v>0</v>
      </c>
    </row>
    <row r="54" spans="1:10" ht="16" outlineLevel="2">
      <c r="A54" s="816"/>
      <c r="B54" s="817"/>
      <c r="C54" s="817"/>
      <c r="D54" s="67" t="s">
        <v>123</v>
      </c>
      <c r="E54" s="71">
        <f t="shared" si="9"/>
        <v>0</v>
      </c>
      <c r="F54" s="117">
        <v>0</v>
      </c>
      <c r="G54" s="117">
        <v>0</v>
      </c>
      <c r="H54" s="118">
        <v>0</v>
      </c>
      <c r="I54" s="259">
        <v>0</v>
      </c>
      <c r="J54" s="259">
        <v>0</v>
      </c>
    </row>
    <row r="55" spans="1:10" ht="17" outlineLevel="2" thickBot="1">
      <c r="A55" s="816"/>
      <c r="B55" s="817"/>
      <c r="C55" s="817"/>
      <c r="D55" s="67" t="s">
        <v>124</v>
      </c>
      <c r="E55" s="72">
        <f>SUM(F55:J55)</f>
        <v>0</v>
      </c>
      <c r="F55" s="120">
        <v>0</v>
      </c>
      <c r="G55" s="120">
        <v>0</v>
      </c>
      <c r="H55" s="121">
        <v>0</v>
      </c>
      <c r="I55" s="260">
        <v>0</v>
      </c>
      <c r="J55" s="260">
        <v>0</v>
      </c>
    </row>
    <row r="56" spans="1:10" ht="16" thickBot="1">
      <c r="A56" s="814" t="s">
        <v>220</v>
      </c>
      <c r="B56" s="815"/>
      <c r="C56" s="815"/>
      <c r="D56" s="80"/>
      <c r="E56" s="76">
        <f t="shared" ref="E56:J56" si="10">E57+E78</f>
        <v>19049748.800000008</v>
      </c>
      <c r="F56" s="77">
        <f t="shared" ref="F56" si="11">F57+F78</f>
        <v>1024800</v>
      </c>
      <c r="G56" s="77">
        <f t="shared" si="10"/>
        <v>485217.59999999986</v>
      </c>
      <c r="H56" s="77">
        <f t="shared" si="10"/>
        <v>1909440</v>
      </c>
      <c r="I56" s="253">
        <f t="shared" si="10"/>
        <v>15023408</v>
      </c>
      <c r="J56" s="253">
        <f t="shared" si="10"/>
        <v>606883.19999999995</v>
      </c>
    </row>
    <row r="57" spans="1:10" ht="16" outlineLevel="1" thickBot="1">
      <c r="A57" s="16" t="s">
        <v>221</v>
      </c>
      <c r="B57" s="16"/>
      <c r="C57" s="16"/>
      <c r="D57" s="27"/>
      <c r="E57" s="129">
        <f t="shared" ref="E57:J57" si="12">SUM(E58:E77)</f>
        <v>2093000</v>
      </c>
      <c r="F57" s="130">
        <f t="shared" ref="F57" si="13">SUM(F58:F77)</f>
        <v>0</v>
      </c>
      <c r="G57" s="130">
        <f t="shared" si="12"/>
        <v>0</v>
      </c>
      <c r="H57" s="130">
        <f t="shared" si="12"/>
        <v>1077000</v>
      </c>
      <c r="I57" s="261">
        <f t="shared" si="12"/>
        <v>1016000</v>
      </c>
      <c r="J57" s="261">
        <f t="shared" si="12"/>
        <v>0</v>
      </c>
    </row>
    <row r="58" spans="1:10" ht="16" outlineLevel="2">
      <c r="A58" s="816" t="s">
        <v>222</v>
      </c>
      <c r="B58" s="817" t="s">
        <v>223</v>
      </c>
      <c r="C58" s="817">
        <v>635009</v>
      </c>
      <c r="D58" s="66" t="s">
        <v>115</v>
      </c>
      <c r="E58" s="70">
        <f>SUM(F58:J58)</f>
        <v>0</v>
      </c>
      <c r="F58" s="123">
        <v>0</v>
      </c>
      <c r="G58" s="123">
        <v>0</v>
      </c>
      <c r="H58" s="124">
        <v>0</v>
      </c>
      <c r="I58" s="254">
        <v>0</v>
      </c>
      <c r="J58" s="254">
        <v>0</v>
      </c>
    </row>
    <row r="59" spans="1:10" ht="16" outlineLevel="2">
      <c r="A59" s="816"/>
      <c r="B59" s="817"/>
      <c r="C59" s="817"/>
      <c r="D59" s="67" t="s">
        <v>116</v>
      </c>
      <c r="E59" s="71">
        <f>SUM(F59:J59)</f>
        <v>0</v>
      </c>
      <c r="F59" s="125">
        <v>0</v>
      </c>
      <c r="G59" s="125">
        <v>0</v>
      </c>
      <c r="H59" s="125">
        <v>0</v>
      </c>
      <c r="I59" s="255">
        <v>0</v>
      </c>
      <c r="J59" s="255">
        <v>0</v>
      </c>
    </row>
    <row r="60" spans="1:10" ht="16" outlineLevel="2">
      <c r="A60" s="816"/>
      <c r="B60" s="817"/>
      <c r="C60" s="817"/>
      <c r="D60" s="67" t="s">
        <v>117</v>
      </c>
      <c r="E60" s="71">
        <f t="shared" ref="E60:E66" si="14">SUM(F60:J60)</f>
        <v>261625</v>
      </c>
      <c r="F60" s="125">
        <v>0</v>
      </c>
      <c r="G60" s="125">
        <v>0</v>
      </c>
      <c r="H60" s="126">
        <f>BPM!H4</f>
        <v>134625</v>
      </c>
      <c r="I60" s="255">
        <f>'Rozpočet - HW a licencie'!E3</f>
        <v>127000</v>
      </c>
      <c r="J60" s="255">
        <v>0</v>
      </c>
    </row>
    <row r="61" spans="1:10" ht="16" outlineLevel="2">
      <c r="A61" s="816"/>
      <c r="B61" s="817"/>
      <c r="C61" s="817"/>
      <c r="D61" s="67" t="s">
        <v>118</v>
      </c>
      <c r="E61" s="71">
        <f t="shared" si="14"/>
        <v>261625</v>
      </c>
      <c r="F61" s="125">
        <v>0</v>
      </c>
      <c r="G61" s="125">
        <v>0</v>
      </c>
      <c r="H61" s="255">
        <f>BPM!H4</f>
        <v>134625</v>
      </c>
      <c r="I61" s="255">
        <f>I60</f>
        <v>127000</v>
      </c>
      <c r="J61" s="255">
        <f>J60</f>
        <v>0</v>
      </c>
    </row>
    <row r="62" spans="1:10" ht="16" outlineLevel="2">
      <c r="A62" s="816"/>
      <c r="B62" s="817"/>
      <c r="C62" s="817"/>
      <c r="D62" s="67" t="s">
        <v>119</v>
      </c>
      <c r="E62" s="71">
        <f t="shared" si="14"/>
        <v>261625</v>
      </c>
      <c r="F62" s="125">
        <v>0</v>
      </c>
      <c r="G62" s="125">
        <v>0</v>
      </c>
      <c r="H62" s="255">
        <f>BPM!H4</f>
        <v>134625</v>
      </c>
      <c r="I62" s="255">
        <f t="shared" ref="I62:J66" si="15">I61</f>
        <v>127000</v>
      </c>
      <c r="J62" s="255">
        <f t="shared" si="15"/>
        <v>0</v>
      </c>
    </row>
    <row r="63" spans="1:10" ht="16" outlineLevel="2">
      <c r="A63" s="816"/>
      <c r="B63" s="817"/>
      <c r="C63" s="817"/>
      <c r="D63" s="67" t="s">
        <v>120</v>
      </c>
      <c r="E63" s="71">
        <f t="shared" si="14"/>
        <v>261625</v>
      </c>
      <c r="F63" s="125">
        <v>0</v>
      </c>
      <c r="G63" s="125">
        <v>0</v>
      </c>
      <c r="H63" s="255">
        <f>BPM!H4</f>
        <v>134625</v>
      </c>
      <c r="I63" s="255">
        <f t="shared" si="15"/>
        <v>127000</v>
      </c>
      <c r="J63" s="255">
        <f t="shared" si="15"/>
        <v>0</v>
      </c>
    </row>
    <row r="64" spans="1:10" ht="16" outlineLevel="2">
      <c r="A64" s="816"/>
      <c r="B64" s="817"/>
      <c r="C64" s="817"/>
      <c r="D64" s="67" t="s">
        <v>121</v>
      </c>
      <c r="E64" s="71">
        <f t="shared" si="14"/>
        <v>261625</v>
      </c>
      <c r="F64" s="125">
        <v>0</v>
      </c>
      <c r="G64" s="125">
        <v>0</v>
      </c>
      <c r="H64" s="255">
        <f>BPM!H4</f>
        <v>134625</v>
      </c>
      <c r="I64" s="255">
        <f t="shared" si="15"/>
        <v>127000</v>
      </c>
      <c r="J64" s="255">
        <f t="shared" si="15"/>
        <v>0</v>
      </c>
    </row>
    <row r="65" spans="1:10" ht="16" outlineLevel="2">
      <c r="A65" s="816"/>
      <c r="B65" s="817"/>
      <c r="C65" s="817"/>
      <c r="D65" s="67" t="s">
        <v>122</v>
      </c>
      <c r="E65" s="71">
        <f t="shared" si="14"/>
        <v>261625</v>
      </c>
      <c r="F65" s="125">
        <v>0</v>
      </c>
      <c r="G65" s="125">
        <v>0</v>
      </c>
      <c r="H65" s="255">
        <f>BPM!H4</f>
        <v>134625</v>
      </c>
      <c r="I65" s="255">
        <f t="shared" si="15"/>
        <v>127000</v>
      </c>
      <c r="J65" s="255">
        <f t="shared" si="15"/>
        <v>0</v>
      </c>
    </row>
    <row r="66" spans="1:10" ht="16" outlineLevel="2">
      <c r="A66" s="816"/>
      <c r="B66" s="817"/>
      <c r="C66" s="817"/>
      <c r="D66" s="67" t="s">
        <v>123</v>
      </c>
      <c r="E66" s="71">
        <f t="shared" si="14"/>
        <v>261625</v>
      </c>
      <c r="F66" s="125">
        <v>0</v>
      </c>
      <c r="G66" s="125">
        <v>0</v>
      </c>
      <c r="H66" s="255">
        <f>BPM!H4</f>
        <v>134625</v>
      </c>
      <c r="I66" s="255">
        <f t="shared" si="15"/>
        <v>127000</v>
      </c>
      <c r="J66" s="255">
        <f t="shared" si="15"/>
        <v>0</v>
      </c>
    </row>
    <row r="67" spans="1:10" ht="17" outlineLevel="2" thickBot="1">
      <c r="A67" s="816"/>
      <c r="B67" s="817"/>
      <c r="C67" s="817"/>
      <c r="D67" s="68" t="s">
        <v>124</v>
      </c>
      <c r="E67" s="72">
        <f>SUM(F67:J67)</f>
        <v>261625</v>
      </c>
      <c r="F67" s="127">
        <v>0</v>
      </c>
      <c r="G67" s="127">
        <v>0</v>
      </c>
      <c r="H67" s="255">
        <f>BPM!H4</f>
        <v>134625</v>
      </c>
      <c r="I67" s="255">
        <f>I66</f>
        <v>127000</v>
      </c>
      <c r="J67" s="256">
        <v>0</v>
      </c>
    </row>
    <row r="68" spans="1:10" ht="16" outlineLevel="2">
      <c r="A68" s="816" t="s">
        <v>224</v>
      </c>
      <c r="B68" s="817" t="s">
        <v>225</v>
      </c>
      <c r="C68" s="817">
        <v>718006</v>
      </c>
      <c r="D68" s="66" t="s">
        <v>115</v>
      </c>
      <c r="E68" s="70">
        <f>SUM(F68:J68)</f>
        <v>0</v>
      </c>
      <c r="F68" s="123">
        <v>0</v>
      </c>
      <c r="G68" s="123">
        <v>0</v>
      </c>
      <c r="H68" s="124">
        <v>0</v>
      </c>
      <c r="I68" s="254">
        <v>0</v>
      </c>
      <c r="J68" s="254">
        <v>0</v>
      </c>
    </row>
    <row r="69" spans="1:10" ht="16" outlineLevel="2">
      <c r="A69" s="816"/>
      <c r="B69" s="817"/>
      <c r="C69" s="817"/>
      <c r="D69" s="67" t="s">
        <v>116</v>
      </c>
      <c r="E69" s="71">
        <f>SUM(F69:J69)</f>
        <v>0</v>
      </c>
      <c r="F69" s="125">
        <v>0</v>
      </c>
      <c r="G69" s="125">
        <v>0</v>
      </c>
      <c r="H69" s="126">
        <v>0</v>
      </c>
      <c r="I69" s="255">
        <v>0</v>
      </c>
      <c r="J69" s="255">
        <v>0</v>
      </c>
    </row>
    <row r="70" spans="1:10" ht="16" outlineLevel="2">
      <c r="A70" s="816"/>
      <c r="B70" s="817"/>
      <c r="C70" s="817"/>
      <c r="D70" s="67" t="s">
        <v>117</v>
      </c>
      <c r="E70" s="71">
        <f t="shared" ref="E70:E76" si="16">SUM(F70:J70)</f>
        <v>0</v>
      </c>
      <c r="F70" s="125">
        <v>0</v>
      </c>
      <c r="G70" s="125">
        <v>0</v>
      </c>
      <c r="H70" s="126">
        <v>0</v>
      </c>
      <c r="I70" s="255">
        <v>0</v>
      </c>
      <c r="J70" s="255">
        <v>0</v>
      </c>
    </row>
    <row r="71" spans="1:10" ht="16" outlineLevel="2">
      <c r="A71" s="816"/>
      <c r="B71" s="817"/>
      <c r="C71" s="817"/>
      <c r="D71" s="67" t="s">
        <v>118</v>
      </c>
      <c r="E71" s="71">
        <f t="shared" si="16"/>
        <v>0</v>
      </c>
      <c r="F71" s="125">
        <v>0</v>
      </c>
      <c r="G71" s="125">
        <v>0</v>
      </c>
      <c r="H71" s="126">
        <v>0</v>
      </c>
      <c r="I71" s="255">
        <v>0</v>
      </c>
      <c r="J71" s="255">
        <v>0</v>
      </c>
    </row>
    <row r="72" spans="1:10" ht="16" outlineLevel="2">
      <c r="A72" s="816"/>
      <c r="B72" s="817"/>
      <c r="C72" s="817"/>
      <c r="D72" s="67" t="s">
        <v>119</v>
      </c>
      <c r="E72" s="71">
        <f t="shared" si="16"/>
        <v>0</v>
      </c>
      <c r="F72" s="125">
        <v>0</v>
      </c>
      <c r="G72" s="125">
        <v>0</v>
      </c>
      <c r="H72" s="126">
        <v>0</v>
      </c>
      <c r="I72" s="255">
        <v>0</v>
      </c>
      <c r="J72" s="255">
        <v>0</v>
      </c>
    </row>
    <row r="73" spans="1:10" ht="16" outlineLevel="2">
      <c r="A73" s="816"/>
      <c r="B73" s="817"/>
      <c r="C73" s="817"/>
      <c r="D73" s="67" t="s">
        <v>120</v>
      </c>
      <c r="E73" s="71">
        <f t="shared" si="16"/>
        <v>0</v>
      </c>
      <c r="F73" s="125">
        <v>0</v>
      </c>
      <c r="G73" s="125">
        <v>0</v>
      </c>
      <c r="H73" s="126">
        <v>0</v>
      </c>
      <c r="I73" s="255">
        <v>0</v>
      </c>
      <c r="J73" s="255">
        <v>0</v>
      </c>
    </row>
    <row r="74" spans="1:10" ht="16" outlineLevel="2">
      <c r="A74" s="816"/>
      <c r="B74" s="817"/>
      <c r="C74" s="817"/>
      <c r="D74" s="67" t="s">
        <v>121</v>
      </c>
      <c r="E74" s="71">
        <f t="shared" si="16"/>
        <v>0</v>
      </c>
      <c r="F74" s="125">
        <v>0</v>
      </c>
      <c r="G74" s="125">
        <v>0</v>
      </c>
      <c r="H74" s="126">
        <v>0</v>
      </c>
      <c r="I74" s="255">
        <v>0</v>
      </c>
      <c r="J74" s="255">
        <v>0</v>
      </c>
    </row>
    <row r="75" spans="1:10" ht="16" outlineLevel="2">
      <c r="A75" s="816"/>
      <c r="B75" s="817"/>
      <c r="C75" s="817"/>
      <c r="D75" s="67" t="s">
        <v>122</v>
      </c>
      <c r="E75" s="71">
        <f t="shared" si="16"/>
        <v>0</v>
      </c>
      <c r="F75" s="125">
        <v>0</v>
      </c>
      <c r="G75" s="125">
        <v>0</v>
      </c>
      <c r="H75" s="126">
        <v>0</v>
      </c>
      <c r="I75" s="255">
        <v>0</v>
      </c>
      <c r="J75" s="255">
        <v>0</v>
      </c>
    </row>
    <row r="76" spans="1:10" ht="16" outlineLevel="2">
      <c r="A76" s="816"/>
      <c r="B76" s="817"/>
      <c r="C76" s="817"/>
      <c r="D76" s="67" t="s">
        <v>123</v>
      </c>
      <c r="E76" s="71">
        <f t="shared" si="16"/>
        <v>0</v>
      </c>
      <c r="F76" s="125">
        <v>0</v>
      </c>
      <c r="G76" s="125">
        <v>0</v>
      </c>
      <c r="H76" s="126">
        <v>0</v>
      </c>
      <c r="I76" s="255">
        <v>0</v>
      </c>
      <c r="J76" s="255">
        <v>0</v>
      </c>
    </row>
    <row r="77" spans="1:10" ht="17" outlineLevel="2" thickBot="1">
      <c r="A77" s="816"/>
      <c r="B77" s="817"/>
      <c r="C77" s="817"/>
      <c r="D77" s="68" t="s">
        <v>124</v>
      </c>
      <c r="E77" s="72">
        <f>SUM(F77:J77)</f>
        <v>0</v>
      </c>
      <c r="F77" s="127">
        <v>0</v>
      </c>
      <c r="G77" s="127">
        <v>0</v>
      </c>
      <c r="H77" s="128">
        <v>0</v>
      </c>
      <c r="I77" s="256">
        <v>0</v>
      </c>
      <c r="J77" s="256">
        <v>0</v>
      </c>
    </row>
    <row r="78" spans="1:10" ht="16" outlineLevel="1" thickBot="1">
      <c r="A78" s="16" t="s">
        <v>86</v>
      </c>
      <c r="B78" s="16"/>
      <c r="C78" s="16"/>
      <c r="D78" s="27"/>
      <c r="E78" s="131">
        <f t="shared" ref="E78:J78" si="17">SUM(E79:E128)</f>
        <v>16956748.800000008</v>
      </c>
      <c r="F78" s="132">
        <f t="shared" ref="F78" si="18">SUM(F79:F128)</f>
        <v>1024800</v>
      </c>
      <c r="G78" s="132">
        <f t="shared" si="17"/>
        <v>485217.59999999986</v>
      </c>
      <c r="H78" s="132">
        <f t="shared" si="17"/>
        <v>832440</v>
      </c>
      <c r="I78" s="262">
        <f t="shared" si="17"/>
        <v>14007408</v>
      </c>
      <c r="J78" s="262">
        <f t="shared" si="17"/>
        <v>606883.19999999995</v>
      </c>
    </row>
    <row r="79" spans="1:10" ht="16" outlineLevel="2">
      <c r="A79" s="816" t="s">
        <v>227</v>
      </c>
      <c r="B79" s="817" t="s">
        <v>223</v>
      </c>
      <c r="C79" s="817">
        <v>635009</v>
      </c>
      <c r="D79" s="66" t="s">
        <v>115</v>
      </c>
      <c r="E79" s="70">
        <f>SUM(F79:J79)</f>
        <v>1278000</v>
      </c>
      <c r="F79" s="115">
        <v>0</v>
      </c>
      <c r="G79" s="114"/>
      <c r="H79" s="115">
        <v>0</v>
      </c>
      <c r="I79" s="114">
        <f>1278000</f>
        <v>1278000</v>
      </c>
      <c r="J79" s="258">
        <v>0</v>
      </c>
    </row>
    <row r="80" spans="1:10" ht="16" outlineLevel="2">
      <c r="A80" s="816"/>
      <c r="B80" s="817"/>
      <c r="C80" s="817"/>
      <c r="D80" s="67" t="s">
        <v>116</v>
      </c>
      <c r="E80" s="71">
        <f>SUM(F80:J80)</f>
        <v>1278000</v>
      </c>
      <c r="F80" s="118">
        <v>0</v>
      </c>
      <c r="G80" s="117"/>
      <c r="H80" s="118">
        <v>0</v>
      </c>
      <c r="I80" s="117">
        <f t="shared" ref="F80:I80" si="19">1278000</f>
        <v>1278000</v>
      </c>
      <c r="J80" s="259">
        <v>0</v>
      </c>
    </row>
    <row r="81" spans="1:10" ht="16" outlineLevel="2">
      <c r="A81" s="816"/>
      <c r="B81" s="817"/>
      <c r="C81" s="817"/>
      <c r="D81" s="67" t="s">
        <v>117</v>
      </c>
      <c r="E81" s="71">
        <f t="shared" ref="E81:E87" si="20">SUM(F81:J81)</f>
        <v>1539046.8</v>
      </c>
      <c r="F81" s="118">
        <f>F25*0.05</f>
        <v>64050</v>
      </c>
      <c r="G81" s="118">
        <f>G25*0.05</f>
        <v>30326.100000000002</v>
      </c>
      <c r="H81" s="118">
        <f>H25*0.05</f>
        <v>52027.5</v>
      </c>
      <c r="I81" s="259">
        <f>1278000+$I$25*0.05</f>
        <v>1354713</v>
      </c>
      <c r="J81" s="259">
        <f>J25*0.05</f>
        <v>37930.200000000004</v>
      </c>
    </row>
    <row r="82" spans="1:10" ht="16" outlineLevel="2">
      <c r="A82" s="816"/>
      <c r="B82" s="817"/>
      <c r="C82" s="817"/>
      <c r="D82" s="67" t="s">
        <v>118</v>
      </c>
      <c r="E82" s="71">
        <f t="shared" si="20"/>
        <v>1539046.8</v>
      </c>
      <c r="F82" s="118">
        <f>F25*0.05</f>
        <v>64050</v>
      </c>
      <c r="G82" s="118">
        <f>G25*0.05</f>
        <v>30326.100000000002</v>
      </c>
      <c r="H82" s="118">
        <f>H25*0.05</f>
        <v>52027.5</v>
      </c>
      <c r="I82" s="259">
        <f>1278000+$I$25*0.05</f>
        <v>1354713</v>
      </c>
      <c r="J82" s="259">
        <f>J25*0.05</f>
        <v>37930.200000000004</v>
      </c>
    </row>
    <row r="83" spans="1:10" ht="16" outlineLevel="2">
      <c r="A83" s="816"/>
      <c r="B83" s="817"/>
      <c r="C83" s="817"/>
      <c r="D83" s="67" t="s">
        <v>119</v>
      </c>
      <c r="E83" s="71">
        <f t="shared" si="20"/>
        <v>1539046.8</v>
      </c>
      <c r="F83" s="118">
        <f>F25*0.05</f>
        <v>64050</v>
      </c>
      <c r="G83" s="118">
        <f>G25*0.05</f>
        <v>30326.100000000002</v>
      </c>
      <c r="H83" s="118">
        <f>H25*0.05</f>
        <v>52027.5</v>
      </c>
      <c r="I83" s="259">
        <f>1278000+$I$25*0.05</f>
        <v>1354713</v>
      </c>
      <c r="J83" s="259">
        <f>J25*0.05</f>
        <v>37930.200000000004</v>
      </c>
    </row>
    <row r="84" spans="1:10" ht="16" outlineLevel="2">
      <c r="A84" s="816"/>
      <c r="B84" s="817"/>
      <c r="C84" s="817"/>
      <c r="D84" s="67" t="s">
        <v>120</v>
      </c>
      <c r="E84" s="71">
        <f t="shared" si="20"/>
        <v>1539046.8</v>
      </c>
      <c r="F84" s="118">
        <f>F25*0.05</f>
        <v>64050</v>
      </c>
      <c r="G84" s="118">
        <f>G25*0.05</f>
        <v>30326.100000000002</v>
      </c>
      <c r="H84" s="118">
        <f>H25*0.05</f>
        <v>52027.5</v>
      </c>
      <c r="I84" s="259">
        <f>1278000+$I$25*0.05</f>
        <v>1354713</v>
      </c>
      <c r="J84" s="259">
        <f>J25*0.05</f>
        <v>37930.200000000004</v>
      </c>
    </row>
    <row r="85" spans="1:10" ht="16" outlineLevel="2">
      <c r="A85" s="816"/>
      <c r="B85" s="817"/>
      <c r="C85" s="817"/>
      <c r="D85" s="67" t="s">
        <v>121</v>
      </c>
      <c r="E85" s="71">
        <f t="shared" si="20"/>
        <v>1539046.8</v>
      </c>
      <c r="F85" s="118">
        <f>F25*0.05</f>
        <v>64050</v>
      </c>
      <c r="G85" s="118">
        <f>G25*0.05</f>
        <v>30326.100000000002</v>
      </c>
      <c r="H85" s="118">
        <f>H25*0.05</f>
        <v>52027.5</v>
      </c>
      <c r="I85" s="259">
        <f>1278000+$I$25*0.05</f>
        <v>1354713</v>
      </c>
      <c r="J85" s="259">
        <f>J25*0.05</f>
        <v>37930.200000000004</v>
      </c>
    </row>
    <row r="86" spans="1:10" ht="16" outlineLevel="2">
      <c r="A86" s="816"/>
      <c r="B86" s="817"/>
      <c r="C86" s="817"/>
      <c r="D86" s="67" t="s">
        <v>122</v>
      </c>
      <c r="E86" s="71">
        <f t="shared" si="20"/>
        <v>1539046.8</v>
      </c>
      <c r="F86" s="118">
        <f>F25*0.05</f>
        <v>64050</v>
      </c>
      <c r="G86" s="118">
        <f>G25*0.05</f>
        <v>30326.100000000002</v>
      </c>
      <c r="H86" s="118">
        <f>H25*0.05</f>
        <v>52027.5</v>
      </c>
      <c r="I86" s="259">
        <f>1278000+$I$25*0.05</f>
        <v>1354713</v>
      </c>
      <c r="J86" s="259">
        <f>J25*0.05</f>
        <v>37930.200000000004</v>
      </c>
    </row>
    <row r="87" spans="1:10" ht="16" outlineLevel="2">
      <c r="A87" s="816"/>
      <c r="B87" s="817"/>
      <c r="C87" s="817"/>
      <c r="D87" s="67" t="s">
        <v>123</v>
      </c>
      <c r="E87" s="71">
        <f t="shared" si="20"/>
        <v>1539046.8</v>
      </c>
      <c r="F87" s="118">
        <f>F25*0.05</f>
        <v>64050</v>
      </c>
      <c r="G87" s="118">
        <f>G25*0.05</f>
        <v>30326.100000000002</v>
      </c>
      <c r="H87" s="118">
        <f>H25*0.05</f>
        <v>52027.5</v>
      </c>
      <c r="I87" s="259">
        <f>1278000+$I$25*0.05</f>
        <v>1354713</v>
      </c>
      <c r="J87" s="259">
        <f>J25*0.05</f>
        <v>37930.200000000004</v>
      </c>
    </row>
    <row r="88" spans="1:10" ht="17" outlineLevel="2" thickBot="1">
      <c r="A88" s="816"/>
      <c r="B88" s="817"/>
      <c r="C88" s="817"/>
      <c r="D88" s="68" t="s">
        <v>124</v>
      </c>
      <c r="E88" s="72">
        <f>SUM(F88:J88)</f>
        <v>1539046.8</v>
      </c>
      <c r="F88" s="121">
        <f>F25*0.05</f>
        <v>64050</v>
      </c>
      <c r="G88" s="121">
        <f>G25*0.05</f>
        <v>30326.100000000002</v>
      </c>
      <c r="H88" s="121">
        <f>H25*0.05</f>
        <v>52027.5</v>
      </c>
      <c r="I88" s="259">
        <f>1278000+$I$25*0.05</f>
        <v>1354713</v>
      </c>
      <c r="J88" s="260">
        <f>J25*0.05</f>
        <v>37930.200000000004</v>
      </c>
    </row>
    <row r="89" spans="1:10" ht="16" outlineLevel="2">
      <c r="A89" s="816" t="s">
        <v>229</v>
      </c>
      <c r="B89" s="817" t="s">
        <v>230</v>
      </c>
      <c r="C89" s="817">
        <v>637005</v>
      </c>
      <c r="D89" s="66" t="s">
        <v>115</v>
      </c>
      <c r="E89" s="70">
        <f>SUM(F89:J89)</f>
        <v>0</v>
      </c>
      <c r="F89" s="114">
        <v>0</v>
      </c>
      <c r="G89" s="114">
        <v>0</v>
      </c>
      <c r="H89" s="115">
        <v>0</v>
      </c>
      <c r="I89" s="258">
        <v>0</v>
      </c>
      <c r="J89" s="258">
        <v>0</v>
      </c>
    </row>
    <row r="90" spans="1:10" ht="16" outlineLevel="2">
      <c r="A90" s="816"/>
      <c r="B90" s="817"/>
      <c r="C90" s="817"/>
      <c r="D90" s="67" t="s">
        <v>116</v>
      </c>
      <c r="E90" s="71">
        <f>SUM(F90:J90)</f>
        <v>0</v>
      </c>
      <c r="F90" s="117">
        <v>0</v>
      </c>
      <c r="G90" s="117">
        <v>0</v>
      </c>
      <c r="H90" s="118">
        <v>0</v>
      </c>
      <c r="I90" s="259">
        <v>0</v>
      </c>
      <c r="J90" s="259">
        <v>0</v>
      </c>
    </row>
    <row r="91" spans="1:10" ht="16" outlineLevel="2">
      <c r="A91" s="816"/>
      <c r="B91" s="817"/>
      <c r="C91" s="817"/>
      <c r="D91" s="67" t="s">
        <v>117</v>
      </c>
      <c r="E91" s="71">
        <f t="shared" ref="E91:E97" si="21">SUM(F91:J91)</f>
        <v>0</v>
      </c>
      <c r="F91" s="117">
        <v>0</v>
      </c>
      <c r="G91" s="117">
        <v>0</v>
      </c>
      <c r="H91" s="118">
        <v>0</v>
      </c>
      <c r="I91" s="259">
        <v>0</v>
      </c>
      <c r="J91" s="259">
        <v>0</v>
      </c>
    </row>
    <row r="92" spans="1:10" ht="16" outlineLevel="2">
      <c r="A92" s="816"/>
      <c r="B92" s="817"/>
      <c r="C92" s="817"/>
      <c r="D92" s="67" t="s">
        <v>118</v>
      </c>
      <c r="E92" s="71">
        <f t="shared" si="21"/>
        <v>0</v>
      </c>
      <c r="F92" s="117">
        <v>0</v>
      </c>
      <c r="G92" s="117">
        <v>0</v>
      </c>
      <c r="H92" s="118">
        <v>0</v>
      </c>
      <c r="I92" s="259">
        <v>0</v>
      </c>
      <c r="J92" s="259">
        <v>0</v>
      </c>
    </row>
    <row r="93" spans="1:10" ht="16" outlineLevel="2">
      <c r="A93" s="816"/>
      <c r="B93" s="817"/>
      <c r="C93" s="817"/>
      <c r="D93" s="67" t="s">
        <v>119</v>
      </c>
      <c r="E93" s="71">
        <f t="shared" si="21"/>
        <v>0</v>
      </c>
      <c r="F93" s="117">
        <v>0</v>
      </c>
      <c r="G93" s="117">
        <v>0</v>
      </c>
      <c r="H93" s="118">
        <v>0</v>
      </c>
      <c r="I93" s="259">
        <v>0</v>
      </c>
      <c r="J93" s="259">
        <v>0</v>
      </c>
    </row>
    <row r="94" spans="1:10" ht="16" outlineLevel="2">
      <c r="A94" s="816"/>
      <c r="B94" s="817"/>
      <c r="C94" s="817"/>
      <c r="D94" s="67" t="s">
        <v>120</v>
      </c>
      <c r="E94" s="71">
        <f t="shared" si="21"/>
        <v>0</v>
      </c>
      <c r="F94" s="117">
        <v>0</v>
      </c>
      <c r="G94" s="117">
        <v>0</v>
      </c>
      <c r="H94" s="118">
        <v>0</v>
      </c>
      <c r="I94" s="259">
        <v>0</v>
      </c>
      <c r="J94" s="259">
        <v>0</v>
      </c>
    </row>
    <row r="95" spans="1:10" ht="16" outlineLevel="2">
      <c r="A95" s="816"/>
      <c r="B95" s="817"/>
      <c r="C95" s="817"/>
      <c r="D95" s="67" t="s">
        <v>121</v>
      </c>
      <c r="E95" s="71">
        <f t="shared" si="21"/>
        <v>0</v>
      </c>
      <c r="F95" s="117">
        <v>0</v>
      </c>
      <c r="G95" s="117">
        <v>0</v>
      </c>
      <c r="H95" s="118">
        <v>0</v>
      </c>
      <c r="I95" s="259">
        <v>0</v>
      </c>
      <c r="J95" s="259">
        <v>0</v>
      </c>
    </row>
    <row r="96" spans="1:10" ht="16" outlineLevel="2">
      <c r="A96" s="816"/>
      <c r="B96" s="817"/>
      <c r="C96" s="817"/>
      <c r="D96" s="67" t="s">
        <v>122</v>
      </c>
      <c r="E96" s="71">
        <f t="shared" si="21"/>
        <v>0</v>
      </c>
      <c r="F96" s="117">
        <v>0</v>
      </c>
      <c r="G96" s="117">
        <v>0</v>
      </c>
      <c r="H96" s="118">
        <v>0</v>
      </c>
      <c r="I96" s="259">
        <v>0</v>
      </c>
      <c r="J96" s="259">
        <v>0</v>
      </c>
    </row>
    <row r="97" spans="1:10" ht="16" outlineLevel="2">
      <c r="A97" s="816"/>
      <c r="B97" s="817"/>
      <c r="C97" s="817"/>
      <c r="D97" s="67" t="s">
        <v>123</v>
      </c>
      <c r="E97" s="71">
        <f t="shared" si="21"/>
        <v>0</v>
      </c>
      <c r="F97" s="117">
        <v>0</v>
      </c>
      <c r="G97" s="117">
        <v>0</v>
      </c>
      <c r="H97" s="118">
        <v>0</v>
      </c>
      <c r="I97" s="259">
        <v>0</v>
      </c>
      <c r="J97" s="259">
        <v>0</v>
      </c>
    </row>
    <row r="98" spans="1:10" ht="17" outlineLevel="2" thickBot="1">
      <c r="A98" s="816"/>
      <c r="B98" s="817"/>
      <c r="C98" s="817"/>
      <c r="D98" s="68" t="s">
        <v>124</v>
      </c>
      <c r="E98" s="72">
        <f>SUM(F98:J98)</f>
        <v>0</v>
      </c>
      <c r="F98" s="120">
        <v>0</v>
      </c>
      <c r="G98" s="120">
        <v>0</v>
      </c>
      <c r="H98" s="121">
        <v>0</v>
      </c>
      <c r="I98" s="260">
        <v>0</v>
      </c>
      <c r="J98" s="260">
        <v>0</v>
      </c>
    </row>
    <row r="99" spans="1:10" ht="16" outlineLevel="2">
      <c r="A99" s="816" t="s">
        <v>231</v>
      </c>
      <c r="B99" s="817" t="s">
        <v>225</v>
      </c>
      <c r="C99" s="817">
        <v>718006</v>
      </c>
      <c r="D99" s="66" t="s">
        <v>115</v>
      </c>
      <c r="E99" s="70">
        <f>SUM(F99:J99)</f>
        <v>0</v>
      </c>
      <c r="F99" s="114">
        <v>0</v>
      </c>
      <c r="G99" s="114">
        <v>0</v>
      </c>
      <c r="H99" s="115">
        <v>0</v>
      </c>
      <c r="I99" s="258">
        <v>0</v>
      </c>
      <c r="J99" s="258">
        <v>0</v>
      </c>
    </row>
    <row r="100" spans="1:10" ht="16" outlineLevel="2">
      <c r="A100" s="816"/>
      <c r="B100" s="817"/>
      <c r="C100" s="817"/>
      <c r="D100" s="67" t="s">
        <v>116</v>
      </c>
      <c r="E100" s="71">
        <f>SUM(F100:J100)</f>
        <v>0</v>
      </c>
      <c r="F100" s="117">
        <v>0</v>
      </c>
      <c r="G100" s="117">
        <v>0</v>
      </c>
      <c r="H100" s="118">
        <v>0</v>
      </c>
      <c r="I100" s="259">
        <v>0</v>
      </c>
      <c r="J100" s="259">
        <v>0</v>
      </c>
    </row>
    <row r="101" spans="1:10" ht="16" outlineLevel="2">
      <c r="A101" s="816"/>
      <c r="B101" s="817"/>
      <c r="C101" s="817"/>
      <c r="D101" s="67" t="s">
        <v>117</v>
      </c>
      <c r="E101" s="71">
        <f t="shared" ref="E101:E107" si="22">SUM(F101:J101)</f>
        <v>261046.80000000002</v>
      </c>
      <c r="F101" s="117">
        <f>F25*0.05</f>
        <v>64050</v>
      </c>
      <c r="G101" s="117">
        <f>G25*0.05</f>
        <v>30326.100000000002</v>
      </c>
      <c r="H101" s="118">
        <f>H25*0.05</f>
        <v>52027.5</v>
      </c>
      <c r="I101" s="259">
        <f>I25*0.05</f>
        <v>76713</v>
      </c>
      <c r="J101" s="259">
        <f>J25*0.05</f>
        <v>37930.200000000004</v>
      </c>
    </row>
    <row r="102" spans="1:10" ht="16" outlineLevel="2">
      <c r="A102" s="816"/>
      <c r="B102" s="817"/>
      <c r="C102" s="817"/>
      <c r="D102" s="67" t="s">
        <v>118</v>
      </c>
      <c r="E102" s="71">
        <f t="shared" si="22"/>
        <v>261046.80000000002</v>
      </c>
      <c r="F102" s="117">
        <f>F25*0.05</f>
        <v>64050</v>
      </c>
      <c r="G102" s="117">
        <f>G25*0.05</f>
        <v>30326.100000000002</v>
      </c>
      <c r="H102" s="118">
        <f>H25*0.05</f>
        <v>52027.5</v>
      </c>
      <c r="I102" s="259">
        <f>I25*0.05</f>
        <v>76713</v>
      </c>
      <c r="J102" s="259">
        <f>J25*0.05</f>
        <v>37930.200000000004</v>
      </c>
    </row>
    <row r="103" spans="1:10" ht="16" outlineLevel="2">
      <c r="A103" s="816"/>
      <c r="B103" s="817"/>
      <c r="C103" s="817"/>
      <c r="D103" s="67" t="s">
        <v>119</v>
      </c>
      <c r="E103" s="71">
        <f t="shared" si="22"/>
        <v>261046.80000000002</v>
      </c>
      <c r="F103" s="117">
        <f>F25*0.05</f>
        <v>64050</v>
      </c>
      <c r="G103" s="117">
        <f>G25*0.05</f>
        <v>30326.100000000002</v>
      </c>
      <c r="H103" s="118">
        <f>H25*0.05</f>
        <v>52027.5</v>
      </c>
      <c r="I103" s="259">
        <f>I25*0.05</f>
        <v>76713</v>
      </c>
      <c r="J103" s="259">
        <f>J25*0.05</f>
        <v>37930.200000000004</v>
      </c>
    </row>
    <row r="104" spans="1:10" ht="16" outlineLevel="2">
      <c r="A104" s="816"/>
      <c r="B104" s="817"/>
      <c r="C104" s="817"/>
      <c r="D104" s="67" t="s">
        <v>120</v>
      </c>
      <c r="E104" s="71">
        <f t="shared" si="22"/>
        <v>261046.80000000002</v>
      </c>
      <c r="F104" s="117">
        <f>F25*0.05</f>
        <v>64050</v>
      </c>
      <c r="G104" s="117">
        <f>G25*0.05</f>
        <v>30326.100000000002</v>
      </c>
      <c r="H104" s="118">
        <f>H25*0.05</f>
        <v>52027.5</v>
      </c>
      <c r="I104" s="259">
        <f>I25*0.05</f>
        <v>76713</v>
      </c>
      <c r="J104" s="259">
        <f>J25*0.05</f>
        <v>37930.200000000004</v>
      </c>
    </row>
    <row r="105" spans="1:10" ht="16" outlineLevel="2">
      <c r="A105" s="816"/>
      <c r="B105" s="817"/>
      <c r="C105" s="817"/>
      <c r="D105" s="67" t="s">
        <v>121</v>
      </c>
      <c r="E105" s="71">
        <f t="shared" si="22"/>
        <v>261046.80000000002</v>
      </c>
      <c r="F105" s="117">
        <f>F25*0.05</f>
        <v>64050</v>
      </c>
      <c r="G105" s="117">
        <f>G25*0.05</f>
        <v>30326.100000000002</v>
      </c>
      <c r="H105" s="118">
        <f>H25*0.05</f>
        <v>52027.5</v>
      </c>
      <c r="I105" s="259">
        <f>I25*0.05</f>
        <v>76713</v>
      </c>
      <c r="J105" s="259">
        <f>J25*0.05</f>
        <v>37930.200000000004</v>
      </c>
    </row>
    <row r="106" spans="1:10" ht="16" outlineLevel="2">
      <c r="A106" s="816"/>
      <c r="B106" s="817"/>
      <c r="C106" s="817"/>
      <c r="D106" s="67" t="s">
        <v>122</v>
      </c>
      <c r="E106" s="71">
        <f t="shared" si="22"/>
        <v>261046.80000000002</v>
      </c>
      <c r="F106" s="117">
        <f>F25*0.05</f>
        <v>64050</v>
      </c>
      <c r="G106" s="117">
        <f>G25*0.05</f>
        <v>30326.100000000002</v>
      </c>
      <c r="H106" s="118">
        <f>H25*0.05</f>
        <v>52027.5</v>
      </c>
      <c r="I106" s="259">
        <f>I25*0.05</f>
        <v>76713</v>
      </c>
      <c r="J106" s="259">
        <f>J25*0.05</f>
        <v>37930.200000000004</v>
      </c>
    </row>
    <row r="107" spans="1:10" ht="16" outlineLevel="2">
      <c r="A107" s="816"/>
      <c r="B107" s="817"/>
      <c r="C107" s="817"/>
      <c r="D107" s="67" t="s">
        <v>123</v>
      </c>
      <c r="E107" s="71">
        <f t="shared" si="22"/>
        <v>261046.80000000002</v>
      </c>
      <c r="F107" s="117">
        <f>F25*0.05</f>
        <v>64050</v>
      </c>
      <c r="G107" s="117">
        <f>G25*0.05</f>
        <v>30326.100000000002</v>
      </c>
      <c r="H107" s="118">
        <f>H25*0.05</f>
        <v>52027.5</v>
      </c>
      <c r="I107" s="259">
        <f>I25*0.05</f>
        <v>76713</v>
      </c>
      <c r="J107" s="259">
        <f>J25*0.05</f>
        <v>37930.200000000004</v>
      </c>
    </row>
    <row r="108" spans="1:10" ht="17" outlineLevel="2" thickBot="1">
      <c r="A108" s="816"/>
      <c r="B108" s="817"/>
      <c r="C108" s="817"/>
      <c r="D108" s="68" t="s">
        <v>124</v>
      </c>
      <c r="E108" s="72">
        <f>SUM(F108:J108)</f>
        <v>261046.80000000002</v>
      </c>
      <c r="F108" s="120">
        <f>F25*0.05</f>
        <v>64050</v>
      </c>
      <c r="G108" s="120">
        <f>G25*0.05</f>
        <v>30326.100000000002</v>
      </c>
      <c r="H108" s="121">
        <f>H25*0.05</f>
        <v>52027.5</v>
      </c>
      <c r="I108" s="260">
        <f>I25*0.05</f>
        <v>76713</v>
      </c>
      <c r="J108" s="260">
        <f>J25*0.05</f>
        <v>37930.200000000004</v>
      </c>
    </row>
    <row r="109" spans="1:10" ht="16" outlineLevel="2">
      <c r="A109" s="816" t="s">
        <v>232</v>
      </c>
      <c r="B109" s="817" t="s">
        <v>233</v>
      </c>
      <c r="C109" s="817">
        <v>610</v>
      </c>
      <c r="D109" s="66" t="s">
        <v>115</v>
      </c>
      <c r="E109" s="70">
        <f>SUM(F109:J109)</f>
        <v>0</v>
      </c>
      <c r="F109" s="114">
        <v>0</v>
      </c>
      <c r="G109" s="114">
        <v>0</v>
      </c>
      <c r="H109" s="115">
        <v>0</v>
      </c>
      <c r="I109" s="115">
        <v>0</v>
      </c>
      <c r="J109" s="258">
        <v>0</v>
      </c>
    </row>
    <row r="110" spans="1:10" ht="16" outlineLevel="2">
      <c r="A110" s="816"/>
      <c r="B110" s="817"/>
      <c r="C110" s="817"/>
      <c r="D110" s="67" t="s">
        <v>116</v>
      </c>
      <c r="E110" s="71">
        <f>SUM(F110:J110)</f>
        <v>0</v>
      </c>
      <c r="F110" s="117">
        <v>0</v>
      </c>
      <c r="G110" s="117">
        <v>0</v>
      </c>
      <c r="H110" s="118">
        <v>0</v>
      </c>
      <c r="I110" s="118">
        <v>0</v>
      </c>
      <c r="J110" s="259">
        <v>0</v>
      </c>
    </row>
    <row r="111" spans="1:10" ht="16" outlineLevel="2">
      <c r="A111" s="816"/>
      <c r="B111" s="817"/>
      <c r="C111" s="817"/>
      <c r="D111" s="67" t="s">
        <v>117</v>
      </c>
      <c r="E111" s="71">
        <f t="shared" ref="E111:E117" si="23">SUM(F111:J111)</f>
        <v>0</v>
      </c>
      <c r="F111" s="117">
        <v>0</v>
      </c>
      <c r="G111" s="117">
        <v>0</v>
      </c>
      <c r="H111" s="118">
        <v>0</v>
      </c>
      <c r="I111" s="118">
        <v>0</v>
      </c>
      <c r="J111" s="259">
        <v>0</v>
      </c>
    </row>
    <row r="112" spans="1:10" ht="16" outlineLevel="2">
      <c r="A112" s="816"/>
      <c r="B112" s="817"/>
      <c r="C112" s="817"/>
      <c r="D112" s="67" t="s">
        <v>118</v>
      </c>
      <c r="E112" s="71">
        <f t="shared" si="23"/>
        <v>0</v>
      </c>
      <c r="F112" s="117">
        <v>0</v>
      </c>
      <c r="G112" s="117">
        <v>0</v>
      </c>
      <c r="H112" s="118">
        <v>0</v>
      </c>
      <c r="I112" s="118">
        <v>0</v>
      </c>
      <c r="J112" s="259">
        <v>0</v>
      </c>
    </row>
    <row r="113" spans="1:10" ht="16" outlineLevel="2">
      <c r="A113" s="816"/>
      <c r="B113" s="817"/>
      <c r="C113" s="817"/>
      <c r="D113" s="67" t="s">
        <v>119</v>
      </c>
      <c r="E113" s="71">
        <f t="shared" si="23"/>
        <v>0</v>
      </c>
      <c r="F113" s="117">
        <v>0</v>
      </c>
      <c r="G113" s="117">
        <v>0</v>
      </c>
      <c r="H113" s="118">
        <v>0</v>
      </c>
      <c r="I113" s="118">
        <v>0</v>
      </c>
      <c r="J113" s="259">
        <v>0</v>
      </c>
    </row>
    <row r="114" spans="1:10" ht="16" outlineLevel="2">
      <c r="A114" s="816"/>
      <c r="B114" s="817"/>
      <c r="C114" s="817"/>
      <c r="D114" s="67" t="s">
        <v>120</v>
      </c>
      <c r="E114" s="71">
        <f t="shared" si="23"/>
        <v>0</v>
      </c>
      <c r="F114" s="117">
        <v>0</v>
      </c>
      <c r="G114" s="117">
        <v>0</v>
      </c>
      <c r="H114" s="118">
        <v>0</v>
      </c>
      <c r="I114" s="118">
        <v>0</v>
      </c>
      <c r="J114" s="259">
        <v>0</v>
      </c>
    </row>
    <row r="115" spans="1:10" ht="16" outlineLevel="2">
      <c r="A115" s="816"/>
      <c r="B115" s="817"/>
      <c r="C115" s="817"/>
      <c r="D115" s="67" t="s">
        <v>121</v>
      </c>
      <c r="E115" s="71">
        <f t="shared" si="23"/>
        <v>0</v>
      </c>
      <c r="F115" s="117">
        <v>0</v>
      </c>
      <c r="G115" s="117">
        <v>0</v>
      </c>
      <c r="H115" s="118">
        <v>0</v>
      </c>
      <c r="I115" s="118">
        <v>0</v>
      </c>
      <c r="J115" s="259">
        <v>0</v>
      </c>
    </row>
    <row r="116" spans="1:10" ht="16" outlineLevel="2">
      <c r="A116" s="816"/>
      <c r="B116" s="817"/>
      <c r="C116" s="817"/>
      <c r="D116" s="67" t="s">
        <v>122</v>
      </c>
      <c r="E116" s="71">
        <f t="shared" si="23"/>
        <v>0</v>
      </c>
      <c r="F116" s="117">
        <v>0</v>
      </c>
      <c r="G116" s="117">
        <v>0</v>
      </c>
      <c r="H116" s="118">
        <v>0</v>
      </c>
      <c r="I116" s="118">
        <v>0</v>
      </c>
      <c r="J116" s="259">
        <v>0</v>
      </c>
    </row>
    <row r="117" spans="1:10" ht="16" outlineLevel="2">
      <c r="A117" s="816"/>
      <c r="B117" s="817"/>
      <c r="C117" s="817"/>
      <c r="D117" s="67" t="s">
        <v>123</v>
      </c>
      <c r="E117" s="71">
        <f t="shared" si="23"/>
        <v>0</v>
      </c>
      <c r="F117" s="117">
        <v>0</v>
      </c>
      <c r="G117" s="117">
        <v>0</v>
      </c>
      <c r="H117" s="118">
        <v>0</v>
      </c>
      <c r="I117" s="118">
        <v>0</v>
      </c>
      <c r="J117" s="259">
        <v>0</v>
      </c>
    </row>
    <row r="118" spans="1:10" ht="17" outlineLevel="2" thickBot="1">
      <c r="A118" s="816"/>
      <c r="B118" s="817"/>
      <c r="C118" s="817"/>
      <c r="D118" s="68" t="s">
        <v>124</v>
      </c>
      <c r="E118" s="72">
        <f>SUM(F118:J118)</f>
        <v>0</v>
      </c>
      <c r="F118" s="120">
        <v>0</v>
      </c>
      <c r="G118" s="120">
        <v>0</v>
      </c>
      <c r="H118" s="121">
        <v>0</v>
      </c>
      <c r="I118" s="121">
        <v>0</v>
      </c>
      <c r="J118" s="260">
        <v>0</v>
      </c>
    </row>
    <row r="119" spans="1:10" ht="16" outlineLevel="2">
      <c r="A119" s="816" t="s">
        <v>234</v>
      </c>
      <c r="B119" s="817" t="s">
        <v>230</v>
      </c>
      <c r="C119" s="817">
        <v>637001</v>
      </c>
      <c r="D119" s="66" t="s">
        <v>115</v>
      </c>
      <c r="E119" s="70">
        <f>SUM(F119:J119)</f>
        <v>0</v>
      </c>
      <c r="F119" s="114">
        <v>0</v>
      </c>
      <c r="G119" s="114">
        <v>0</v>
      </c>
      <c r="H119" s="115">
        <v>0</v>
      </c>
      <c r="I119" s="258">
        <v>0</v>
      </c>
      <c r="J119" s="258">
        <v>0</v>
      </c>
    </row>
    <row r="120" spans="1:10" ht="16" outlineLevel="2">
      <c r="A120" s="816"/>
      <c r="B120" s="817"/>
      <c r="C120" s="817"/>
      <c r="D120" s="67" t="s">
        <v>116</v>
      </c>
      <c r="E120" s="71">
        <f>SUM(F120:J120)</f>
        <v>0</v>
      </c>
      <c r="F120" s="117">
        <v>0</v>
      </c>
      <c r="G120" s="117">
        <v>0</v>
      </c>
      <c r="H120" s="118">
        <v>0</v>
      </c>
      <c r="I120" s="259">
        <v>0</v>
      </c>
      <c r="J120" s="259">
        <v>0</v>
      </c>
    </row>
    <row r="121" spans="1:10" ht="16" outlineLevel="2">
      <c r="A121" s="816"/>
      <c r="B121" s="817"/>
      <c r="C121" s="817"/>
      <c r="D121" s="67" t="s">
        <v>117</v>
      </c>
      <c r="E121" s="71">
        <f t="shared" ref="E121:E127" si="24">SUM(F121:J121)</f>
        <v>0</v>
      </c>
      <c r="F121" s="117">
        <v>0</v>
      </c>
      <c r="G121" s="117">
        <v>0</v>
      </c>
      <c r="H121" s="118">
        <v>0</v>
      </c>
      <c r="I121" s="259">
        <v>0</v>
      </c>
      <c r="J121" s="259">
        <v>0</v>
      </c>
    </row>
    <row r="122" spans="1:10" ht="16" outlineLevel="2">
      <c r="A122" s="816"/>
      <c r="B122" s="817"/>
      <c r="C122" s="817"/>
      <c r="D122" s="67" t="s">
        <v>118</v>
      </c>
      <c r="E122" s="71">
        <f t="shared" si="24"/>
        <v>0</v>
      </c>
      <c r="F122" s="117">
        <v>0</v>
      </c>
      <c r="G122" s="117">
        <v>0</v>
      </c>
      <c r="H122" s="118">
        <v>0</v>
      </c>
      <c r="I122" s="259">
        <v>0</v>
      </c>
      <c r="J122" s="259">
        <v>0</v>
      </c>
    </row>
    <row r="123" spans="1:10" ht="16" outlineLevel="2">
      <c r="A123" s="816"/>
      <c r="B123" s="817"/>
      <c r="C123" s="817"/>
      <c r="D123" s="67" t="s">
        <v>119</v>
      </c>
      <c r="E123" s="71">
        <f t="shared" si="24"/>
        <v>0</v>
      </c>
      <c r="F123" s="117">
        <v>0</v>
      </c>
      <c r="G123" s="117">
        <v>0</v>
      </c>
      <c r="H123" s="118">
        <v>0</v>
      </c>
      <c r="I123" s="259">
        <v>0</v>
      </c>
      <c r="J123" s="259">
        <v>0</v>
      </c>
    </row>
    <row r="124" spans="1:10" ht="16" outlineLevel="2">
      <c r="A124" s="816"/>
      <c r="B124" s="817"/>
      <c r="C124" s="817"/>
      <c r="D124" s="67" t="s">
        <v>120</v>
      </c>
      <c r="E124" s="71">
        <f t="shared" si="24"/>
        <v>0</v>
      </c>
      <c r="F124" s="117">
        <v>0</v>
      </c>
      <c r="G124" s="117">
        <v>0</v>
      </c>
      <c r="H124" s="118">
        <v>0</v>
      </c>
      <c r="I124" s="259">
        <v>0</v>
      </c>
      <c r="J124" s="259">
        <v>0</v>
      </c>
    </row>
    <row r="125" spans="1:10" ht="16" outlineLevel="2">
      <c r="A125" s="816"/>
      <c r="B125" s="817"/>
      <c r="C125" s="817"/>
      <c r="D125" s="67" t="s">
        <v>121</v>
      </c>
      <c r="E125" s="71">
        <f t="shared" si="24"/>
        <v>0</v>
      </c>
      <c r="F125" s="117">
        <v>0</v>
      </c>
      <c r="G125" s="117">
        <v>0</v>
      </c>
      <c r="H125" s="118">
        <v>0</v>
      </c>
      <c r="I125" s="259">
        <v>0</v>
      </c>
      <c r="J125" s="259">
        <v>0</v>
      </c>
    </row>
    <row r="126" spans="1:10" ht="16" outlineLevel="2">
      <c r="A126" s="816"/>
      <c r="B126" s="817"/>
      <c r="C126" s="817"/>
      <c r="D126" s="67" t="s">
        <v>122</v>
      </c>
      <c r="E126" s="71">
        <f t="shared" si="24"/>
        <v>0</v>
      </c>
      <c r="F126" s="117">
        <v>0</v>
      </c>
      <c r="G126" s="117">
        <v>0</v>
      </c>
      <c r="H126" s="118">
        <v>0</v>
      </c>
      <c r="I126" s="259">
        <v>0</v>
      </c>
      <c r="J126" s="259">
        <v>0</v>
      </c>
    </row>
    <row r="127" spans="1:10" ht="16" outlineLevel="2">
      <c r="A127" s="816"/>
      <c r="B127" s="817"/>
      <c r="C127" s="817"/>
      <c r="D127" s="67" t="s">
        <v>123</v>
      </c>
      <c r="E127" s="71">
        <f t="shared" si="24"/>
        <v>0</v>
      </c>
      <c r="F127" s="117">
        <v>0</v>
      </c>
      <c r="G127" s="117">
        <v>0</v>
      </c>
      <c r="H127" s="118">
        <v>0</v>
      </c>
      <c r="I127" s="259">
        <v>0</v>
      </c>
      <c r="J127" s="259">
        <v>0</v>
      </c>
    </row>
    <row r="128" spans="1:10" ht="17" outlineLevel="2" thickBot="1">
      <c r="A128" s="816"/>
      <c r="B128" s="817"/>
      <c r="C128" s="817"/>
      <c r="D128" s="68" t="s">
        <v>124</v>
      </c>
      <c r="E128" s="72">
        <f>SUM(F128:J128)</f>
        <v>0</v>
      </c>
      <c r="F128" s="120">
        <v>0</v>
      </c>
      <c r="G128" s="120">
        <v>0</v>
      </c>
      <c r="H128" s="121">
        <v>0</v>
      </c>
      <c r="I128" s="260">
        <v>0</v>
      </c>
      <c r="J128" s="260">
        <v>0</v>
      </c>
    </row>
    <row r="129" spans="1:10" ht="16" thickBot="1">
      <c r="A129" s="16" t="s">
        <v>250</v>
      </c>
      <c r="B129" s="16"/>
      <c r="C129" s="16"/>
      <c r="D129" s="27"/>
      <c r="E129" s="131">
        <f t="shared" ref="E129:J129" si="25">SUM(E130:E149)</f>
        <v>480007.29301075271</v>
      </c>
      <c r="F129" s="132">
        <f t="shared" ref="F129" si="26">SUM(F130:F149)</f>
        <v>480007.29301075271</v>
      </c>
      <c r="G129" s="132">
        <f t="shared" si="25"/>
        <v>0</v>
      </c>
      <c r="H129" s="132">
        <f t="shared" si="25"/>
        <v>0</v>
      </c>
      <c r="I129" s="262">
        <f t="shared" si="25"/>
        <v>0</v>
      </c>
      <c r="J129" s="262">
        <f t="shared" si="25"/>
        <v>0</v>
      </c>
    </row>
    <row r="130" spans="1:10" ht="16">
      <c r="A130" s="816" t="s">
        <v>251</v>
      </c>
      <c r="B130" s="817"/>
      <c r="C130" s="817"/>
      <c r="D130" s="66" t="s">
        <v>115</v>
      </c>
      <c r="E130" s="70">
        <f>SUM(F130:J130)</f>
        <v>171431.17607526883</v>
      </c>
      <c r="F130" s="114">
        <f>'Rozpočet - vývoj Aplikácií'!AH67/2</f>
        <v>171431.17607526883</v>
      </c>
      <c r="G130" s="115">
        <v>0</v>
      </c>
      <c r="H130" s="115">
        <v>0</v>
      </c>
      <c r="I130" s="258">
        <v>0</v>
      </c>
      <c r="J130" s="258">
        <v>0</v>
      </c>
    </row>
    <row r="131" spans="1:10" ht="16">
      <c r="A131" s="816"/>
      <c r="B131" s="817"/>
      <c r="C131" s="817"/>
      <c r="D131" s="67" t="s">
        <v>116</v>
      </c>
      <c r="E131" s="71">
        <f>SUM(F131:J131)</f>
        <v>171431.17607526883</v>
      </c>
      <c r="F131" s="117">
        <f>'Rozpočet - vývoj Aplikácií'!AH67/2</f>
        <v>171431.17607526883</v>
      </c>
      <c r="G131" s="118">
        <v>0</v>
      </c>
      <c r="H131" s="118">
        <v>0</v>
      </c>
      <c r="I131" s="259">
        <v>0</v>
      </c>
      <c r="J131" s="259">
        <v>0</v>
      </c>
    </row>
    <row r="132" spans="1:10" ht="16">
      <c r="A132" s="816"/>
      <c r="B132" s="817"/>
      <c r="C132" s="817"/>
      <c r="D132" s="67" t="s">
        <v>117</v>
      </c>
      <c r="E132" s="71">
        <f t="shared" ref="E132:E138" si="27">SUM(F132:J132)</f>
        <v>0</v>
      </c>
      <c r="F132" s="117">
        <v>0</v>
      </c>
      <c r="G132" s="117">
        <v>0</v>
      </c>
      <c r="H132" s="118">
        <v>0</v>
      </c>
      <c r="I132" s="259">
        <v>0</v>
      </c>
      <c r="J132" s="259">
        <v>0</v>
      </c>
    </row>
    <row r="133" spans="1:10" ht="16">
      <c r="A133" s="816"/>
      <c r="B133" s="817"/>
      <c r="C133" s="817"/>
      <c r="D133" s="67" t="s">
        <v>118</v>
      </c>
      <c r="E133" s="71">
        <f t="shared" si="27"/>
        <v>0</v>
      </c>
      <c r="F133" s="117">
        <v>0</v>
      </c>
      <c r="G133" s="117">
        <v>0</v>
      </c>
      <c r="H133" s="118">
        <v>0</v>
      </c>
      <c r="I133" s="259">
        <v>0</v>
      </c>
      <c r="J133" s="259">
        <v>0</v>
      </c>
    </row>
    <row r="134" spans="1:10" ht="16">
      <c r="A134" s="816"/>
      <c r="B134" s="817"/>
      <c r="C134" s="817"/>
      <c r="D134" s="67" t="s">
        <v>119</v>
      </c>
      <c r="E134" s="71">
        <f t="shared" si="27"/>
        <v>0</v>
      </c>
      <c r="F134" s="117">
        <v>0</v>
      </c>
      <c r="G134" s="117">
        <v>0</v>
      </c>
      <c r="H134" s="118">
        <v>0</v>
      </c>
      <c r="I134" s="259">
        <v>0</v>
      </c>
      <c r="J134" s="259">
        <v>0</v>
      </c>
    </row>
    <row r="135" spans="1:10" ht="16">
      <c r="A135" s="816"/>
      <c r="B135" s="817"/>
      <c r="C135" s="817"/>
      <c r="D135" s="67" t="s">
        <v>120</v>
      </c>
      <c r="E135" s="71">
        <f t="shared" si="27"/>
        <v>0</v>
      </c>
      <c r="F135" s="117">
        <v>0</v>
      </c>
      <c r="G135" s="117">
        <v>0</v>
      </c>
      <c r="H135" s="118">
        <v>0</v>
      </c>
      <c r="I135" s="259">
        <v>0</v>
      </c>
      <c r="J135" s="259">
        <v>0</v>
      </c>
    </row>
    <row r="136" spans="1:10" ht="16">
      <c r="A136" s="816"/>
      <c r="B136" s="817"/>
      <c r="C136" s="817"/>
      <c r="D136" s="67" t="s">
        <v>121</v>
      </c>
      <c r="E136" s="71">
        <f t="shared" si="27"/>
        <v>0</v>
      </c>
      <c r="F136" s="117">
        <v>0</v>
      </c>
      <c r="G136" s="117">
        <v>0</v>
      </c>
      <c r="H136" s="118">
        <v>0</v>
      </c>
      <c r="I136" s="259">
        <v>0</v>
      </c>
      <c r="J136" s="259">
        <v>0</v>
      </c>
    </row>
    <row r="137" spans="1:10" ht="16">
      <c r="A137" s="816"/>
      <c r="B137" s="817"/>
      <c r="C137" s="817"/>
      <c r="D137" s="67" t="s">
        <v>122</v>
      </c>
      <c r="E137" s="71">
        <f t="shared" si="27"/>
        <v>0</v>
      </c>
      <c r="F137" s="117">
        <v>0</v>
      </c>
      <c r="G137" s="117">
        <v>0</v>
      </c>
      <c r="H137" s="118">
        <v>0</v>
      </c>
      <c r="I137" s="259">
        <v>0</v>
      </c>
      <c r="J137" s="259">
        <v>0</v>
      </c>
    </row>
    <row r="138" spans="1:10" ht="16">
      <c r="A138" s="816"/>
      <c r="B138" s="817"/>
      <c r="C138" s="817"/>
      <c r="D138" s="67" t="s">
        <v>123</v>
      </c>
      <c r="E138" s="71">
        <f t="shared" si="27"/>
        <v>0</v>
      </c>
      <c r="F138" s="117">
        <v>0</v>
      </c>
      <c r="G138" s="117">
        <v>0</v>
      </c>
      <c r="H138" s="118">
        <v>0</v>
      </c>
      <c r="I138" s="259">
        <v>0</v>
      </c>
      <c r="J138" s="259">
        <v>0</v>
      </c>
    </row>
    <row r="139" spans="1:10" ht="17" thickBot="1">
      <c r="A139" s="816"/>
      <c r="B139" s="817"/>
      <c r="C139" s="817"/>
      <c r="D139" s="68" t="s">
        <v>124</v>
      </c>
      <c r="E139" s="72">
        <f>SUM(F139:J139)</f>
        <v>0</v>
      </c>
      <c r="F139" s="120">
        <v>0</v>
      </c>
      <c r="G139" s="120">
        <v>0</v>
      </c>
      <c r="H139" s="121">
        <v>0</v>
      </c>
      <c r="I139" s="260">
        <v>0</v>
      </c>
      <c r="J139" s="260">
        <v>0</v>
      </c>
    </row>
    <row r="140" spans="1:10" ht="16">
      <c r="A140" s="816" t="s">
        <v>252</v>
      </c>
      <c r="B140" s="817"/>
      <c r="C140" s="817" t="s">
        <v>253</v>
      </c>
      <c r="D140" s="66" t="s">
        <v>115</v>
      </c>
      <c r="E140" s="70">
        <f>SUM(F140:J140)</f>
        <v>0</v>
      </c>
      <c r="F140" s="114">
        <f>'Rozpočet - vývoj Aplikácií'!AG68/2</f>
        <v>0</v>
      </c>
      <c r="G140" s="115">
        <v>0</v>
      </c>
      <c r="H140" s="115">
        <v>0</v>
      </c>
      <c r="I140" s="258">
        <v>0</v>
      </c>
      <c r="J140" s="258">
        <v>0</v>
      </c>
    </row>
    <row r="141" spans="1:10" ht="16">
      <c r="A141" s="816"/>
      <c r="B141" s="817"/>
      <c r="C141" s="817"/>
      <c r="D141" s="67" t="s">
        <v>116</v>
      </c>
      <c r="E141" s="71">
        <f>SUM(F141:J141)</f>
        <v>137144.94086021505</v>
      </c>
      <c r="F141" s="117">
        <f>'Rozpočet - vývoj Aplikácií'!AH68</f>
        <v>137144.94086021505</v>
      </c>
      <c r="G141" s="118">
        <v>0</v>
      </c>
      <c r="H141" s="118">
        <v>0</v>
      </c>
      <c r="I141" s="259">
        <v>0</v>
      </c>
      <c r="J141" s="259">
        <v>0</v>
      </c>
    </row>
    <row r="142" spans="1:10" ht="16">
      <c r="A142" s="816"/>
      <c r="B142" s="817"/>
      <c r="C142" s="817"/>
      <c r="D142" s="67" t="s">
        <v>117</v>
      </c>
      <c r="E142" s="71">
        <f t="shared" ref="E142:E148" si="28">SUM(F142:J142)</f>
        <v>0</v>
      </c>
      <c r="F142" s="117">
        <v>0</v>
      </c>
      <c r="G142" s="117">
        <v>0</v>
      </c>
      <c r="H142" s="118">
        <v>0</v>
      </c>
      <c r="I142" s="259">
        <v>0</v>
      </c>
      <c r="J142" s="259">
        <v>0</v>
      </c>
    </row>
    <row r="143" spans="1:10" ht="16">
      <c r="A143" s="816"/>
      <c r="B143" s="817"/>
      <c r="C143" s="817"/>
      <c r="D143" s="67" t="s">
        <v>118</v>
      </c>
      <c r="E143" s="71">
        <f t="shared" si="28"/>
        <v>0</v>
      </c>
      <c r="F143" s="117">
        <v>0</v>
      </c>
      <c r="G143" s="117">
        <v>0</v>
      </c>
      <c r="H143" s="118">
        <v>0</v>
      </c>
      <c r="I143" s="259">
        <v>0</v>
      </c>
      <c r="J143" s="259">
        <v>0</v>
      </c>
    </row>
    <row r="144" spans="1:10" ht="16">
      <c r="A144" s="816"/>
      <c r="B144" s="817"/>
      <c r="C144" s="817"/>
      <c r="D144" s="67" t="s">
        <v>119</v>
      </c>
      <c r="E144" s="71">
        <f t="shared" si="28"/>
        <v>0</v>
      </c>
      <c r="F144" s="117">
        <v>0</v>
      </c>
      <c r="G144" s="117">
        <v>0</v>
      </c>
      <c r="H144" s="118">
        <v>0</v>
      </c>
      <c r="I144" s="259">
        <v>0</v>
      </c>
      <c r="J144" s="259">
        <v>0</v>
      </c>
    </row>
    <row r="145" spans="1:10" ht="16">
      <c r="A145" s="816"/>
      <c r="B145" s="817"/>
      <c r="C145" s="817"/>
      <c r="D145" s="67" t="s">
        <v>120</v>
      </c>
      <c r="E145" s="71">
        <f t="shared" si="28"/>
        <v>0</v>
      </c>
      <c r="F145" s="117">
        <v>0</v>
      </c>
      <c r="G145" s="117">
        <v>0</v>
      </c>
      <c r="H145" s="118">
        <v>0</v>
      </c>
      <c r="I145" s="259">
        <v>0</v>
      </c>
      <c r="J145" s="259">
        <v>0</v>
      </c>
    </row>
    <row r="146" spans="1:10" ht="16">
      <c r="A146" s="816"/>
      <c r="B146" s="817"/>
      <c r="C146" s="817"/>
      <c r="D146" s="67" t="s">
        <v>121</v>
      </c>
      <c r="E146" s="71">
        <f t="shared" si="28"/>
        <v>0</v>
      </c>
      <c r="F146" s="117">
        <v>0</v>
      </c>
      <c r="G146" s="117">
        <v>0</v>
      </c>
      <c r="H146" s="118">
        <v>0</v>
      </c>
      <c r="I146" s="259">
        <v>0</v>
      </c>
      <c r="J146" s="259">
        <v>0</v>
      </c>
    </row>
    <row r="147" spans="1:10" ht="16">
      <c r="A147" s="816"/>
      <c r="B147" s="817"/>
      <c r="C147" s="817"/>
      <c r="D147" s="67" t="s">
        <v>122</v>
      </c>
      <c r="E147" s="71">
        <f t="shared" si="28"/>
        <v>0</v>
      </c>
      <c r="F147" s="117">
        <v>0</v>
      </c>
      <c r="G147" s="117">
        <v>0</v>
      </c>
      <c r="H147" s="118">
        <v>0</v>
      </c>
      <c r="I147" s="259">
        <v>0</v>
      </c>
      <c r="J147" s="259">
        <v>0</v>
      </c>
    </row>
    <row r="148" spans="1:10" ht="16">
      <c r="A148" s="816"/>
      <c r="B148" s="817"/>
      <c r="C148" s="817"/>
      <c r="D148" s="67" t="s">
        <v>123</v>
      </c>
      <c r="E148" s="71">
        <f t="shared" si="28"/>
        <v>0</v>
      </c>
      <c r="F148" s="117">
        <v>0</v>
      </c>
      <c r="G148" s="117">
        <v>0</v>
      </c>
      <c r="H148" s="118">
        <v>0</v>
      </c>
      <c r="I148" s="259">
        <v>0</v>
      </c>
      <c r="J148" s="259">
        <v>0</v>
      </c>
    </row>
    <row r="149" spans="1:10" ht="17" thickBot="1">
      <c r="A149" s="816"/>
      <c r="B149" s="817"/>
      <c r="C149" s="817"/>
      <c r="D149" s="68" t="s">
        <v>124</v>
      </c>
      <c r="E149" s="72">
        <f>SUM(F149:J149)</f>
        <v>0</v>
      </c>
      <c r="F149" s="120">
        <v>0</v>
      </c>
      <c r="G149" s="120">
        <v>0</v>
      </c>
      <c r="H149" s="121">
        <v>0</v>
      </c>
      <c r="I149" s="260">
        <v>0</v>
      </c>
      <c r="J149" s="260">
        <v>0</v>
      </c>
    </row>
    <row r="150" spans="1:10" ht="16" thickBot="1">
      <c r="A150" s="814" t="s">
        <v>91</v>
      </c>
      <c r="B150" s="815"/>
      <c r="C150" s="815"/>
      <c r="D150" s="80"/>
      <c r="E150" s="76">
        <f t="shared" ref="E150:J150" si="29">SUM(E151:E170)</f>
        <v>0</v>
      </c>
      <c r="F150" s="77">
        <f t="shared" ref="F150" si="30">SUM(F151:F170)</f>
        <v>0</v>
      </c>
      <c r="G150" s="77">
        <f t="shared" si="29"/>
        <v>0</v>
      </c>
      <c r="H150" s="77">
        <f t="shared" si="29"/>
        <v>0</v>
      </c>
      <c r="I150" s="253">
        <f t="shared" si="29"/>
        <v>0</v>
      </c>
      <c r="J150" s="253">
        <f t="shared" si="29"/>
        <v>0</v>
      </c>
    </row>
    <row r="151" spans="1:10" ht="16">
      <c r="A151" s="816" t="s">
        <v>254</v>
      </c>
      <c r="B151" s="817" t="s">
        <v>230</v>
      </c>
      <c r="C151" s="817">
        <v>633013</v>
      </c>
      <c r="D151" s="66" t="s">
        <v>115</v>
      </c>
      <c r="E151" s="70">
        <f>SUM(F151:J151)</f>
        <v>0</v>
      </c>
      <c r="F151" s="123">
        <v>0</v>
      </c>
      <c r="G151" s="123">
        <v>0</v>
      </c>
      <c r="H151" s="124">
        <v>0</v>
      </c>
      <c r="I151" s="254">
        <v>0</v>
      </c>
      <c r="J151" s="254">
        <v>0</v>
      </c>
    </row>
    <row r="152" spans="1:10" ht="16">
      <c r="A152" s="816"/>
      <c r="B152" s="817"/>
      <c r="C152" s="817"/>
      <c r="D152" s="67" t="s">
        <v>116</v>
      </c>
      <c r="E152" s="71">
        <f>SUM(F152:J152)</f>
        <v>0</v>
      </c>
      <c r="F152" s="125">
        <v>0</v>
      </c>
      <c r="G152" s="125">
        <v>0</v>
      </c>
      <c r="H152" s="126">
        <v>0</v>
      </c>
      <c r="I152" s="255">
        <v>0</v>
      </c>
      <c r="J152" s="255">
        <v>0</v>
      </c>
    </row>
    <row r="153" spans="1:10" ht="16">
      <c r="A153" s="816"/>
      <c r="B153" s="817"/>
      <c r="C153" s="817"/>
      <c r="D153" s="67" t="s">
        <v>117</v>
      </c>
      <c r="E153" s="71">
        <f t="shared" ref="E153:E159" si="31">SUM(F153:J153)</f>
        <v>0</v>
      </c>
      <c r="F153" s="125">
        <v>0</v>
      </c>
      <c r="G153" s="125">
        <v>0</v>
      </c>
      <c r="H153" s="126">
        <v>0</v>
      </c>
      <c r="I153" s="255">
        <v>0</v>
      </c>
      <c r="J153" s="255">
        <v>0</v>
      </c>
    </row>
    <row r="154" spans="1:10" ht="16">
      <c r="A154" s="816"/>
      <c r="B154" s="817"/>
      <c r="C154" s="817"/>
      <c r="D154" s="67" t="s">
        <v>118</v>
      </c>
      <c r="E154" s="71">
        <f t="shared" si="31"/>
        <v>0</v>
      </c>
      <c r="F154" s="125">
        <v>0</v>
      </c>
      <c r="G154" s="125">
        <v>0</v>
      </c>
      <c r="H154" s="126">
        <v>0</v>
      </c>
      <c r="I154" s="255">
        <v>0</v>
      </c>
      <c r="J154" s="255">
        <v>0</v>
      </c>
    </row>
    <row r="155" spans="1:10" ht="16">
      <c r="A155" s="816"/>
      <c r="B155" s="817"/>
      <c r="C155" s="817"/>
      <c r="D155" s="67" t="s">
        <v>119</v>
      </c>
      <c r="E155" s="71">
        <f t="shared" si="31"/>
        <v>0</v>
      </c>
      <c r="F155" s="125">
        <v>0</v>
      </c>
      <c r="G155" s="125">
        <v>0</v>
      </c>
      <c r="H155" s="126">
        <v>0</v>
      </c>
      <c r="I155" s="255">
        <v>0</v>
      </c>
      <c r="J155" s="255">
        <v>0</v>
      </c>
    </row>
    <row r="156" spans="1:10" ht="16">
      <c r="A156" s="816"/>
      <c r="B156" s="817"/>
      <c r="C156" s="817"/>
      <c r="D156" s="67" t="s">
        <v>120</v>
      </c>
      <c r="E156" s="71">
        <f t="shared" si="31"/>
        <v>0</v>
      </c>
      <c r="F156" s="125">
        <v>0</v>
      </c>
      <c r="G156" s="125">
        <v>0</v>
      </c>
      <c r="H156" s="126">
        <v>0</v>
      </c>
      <c r="I156" s="255">
        <v>0</v>
      </c>
      <c r="J156" s="255">
        <v>0</v>
      </c>
    </row>
    <row r="157" spans="1:10" ht="16">
      <c r="A157" s="816"/>
      <c r="B157" s="817"/>
      <c r="C157" s="817"/>
      <c r="D157" s="67" t="s">
        <v>121</v>
      </c>
      <c r="E157" s="71">
        <f t="shared" si="31"/>
        <v>0</v>
      </c>
      <c r="F157" s="125">
        <v>0</v>
      </c>
      <c r="G157" s="125">
        <v>0</v>
      </c>
      <c r="H157" s="126">
        <v>0</v>
      </c>
      <c r="I157" s="255">
        <v>0</v>
      </c>
      <c r="J157" s="255">
        <v>0</v>
      </c>
    </row>
    <row r="158" spans="1:10" ht="16">
      <c r="A158" s="816"/>
      <c r="B158" s="817"/>
      <c r="C158" s="817"/>
      <c r="D158" s="67" t="s">
        <v>122</v>
      </c>
      <c r="E158" s="71">
        <f t="shared" si="31"/>
        <v>0</v>
      </c>
      <c r="F158" s="125">
        <v>0</v>
      </c>
      <c r="G158" s="125">
        <v>0</v>
      </c>
      <c r="H158" s="126">
        <v>0</v>
      </c>
      <c r="I158" s="255">
        <v>0</v>
      </c>
      <c r="J158" s="255">
        <v>0</v>
      </c>
    </row>
    <row r="159" spans="1:10" ht="16">
      <c r="A159" s="816"/>
      <c r="B159" s="817"/>
      <c r="C159" s="817"/>
      <c r="D159" s="67" t="s">
        <v>123</v>
      </c>
      <c r="E159" s="71">
        <f t="shared" si="31"/>
        <v>0</v>
      </c>
      <c r="F159" s="125">
        <v>0</v>
      </c>
      <c r="G159" s="125">
        <v>0</v>
      </c>
      <c r="H159" s="126">
        <v>0</v>
      </c>
      <c r="I159" s="255">
        <v>0</v>
      </c>
      <c r="J159" s="255">
        <v>0</v>
      </c>
    </row>
    <row r="160" spans="1:10" ht="17" thickBot="1">
      <c r="A160" s="816"/>
      <c r="B160" s="817"/>
      <c r="C160" s="817"/>
      <c r="D160" s="68" t="s">
        <v>124</v>
      </c>
      <c r="E160" s="72">
        <f>SUM(F160:J160)</f>
        <v>0</v>
      </c>
      <c r="F160" s="127">
        <v>0</v>
      </c>
      <c r="G160" s="127">
        <v>0</v>
      </c>
      <c r="H160" s="128">
        <v>0</v>
      </c>
      <c r="I160" s="256">
        <v>0</v>
      </c>
      <c r="J160" s="256">
        <v>0</v>
      </c>
    </row>
    <row r="161" spans="1:10" ht="16">
      <c r="A161" s="816" t="s">
        <v>255</v>
      </c>
      <c r="B161" s="817"/>
      <c r="C161" s="817">
        <v>637031</v>
      </c>
      <c r="D161" s="66" t="s">
        <v>115</v>
      </c>
      <c r="E161" s="70">
        <f>SUM(F161:J161)</f>
        <v>0</v>
      </c>
      <c r="F161" s="123">
        <v>0</v>
      </c>
      <c r="G161" s="123">
        <v>0</v>
      </c>
      <c r="H161" s="124">
        <v>0</v>
      </c>
      <c r="I161" s="254">
        <v>0</v>
      </c>
      <c r="J161" s="254">
        <v>0</v>
      </c>
    </row>
    <row r="162" spans="1:10" ht="16">
      <c r="A162" s="816"/>
      <c r="B162" s="817"/>
      <c r="C162" s="817"/>
      <c r="D162" s="67" t="s">
        <v>116</v>
      </c>
      <c r="E162" s="71">
        <f>SUM(F162:J162)</f>
        <v>0</v>
      </c>
      <c r="F162" s="125">
        <v>0</v>
      </c>
      <c r="G162" s="125">
        <v>0</v>
      </c>
      <c r="H162" s="126">
        <v>0</v>
      </c>
      <c r="I162" s="255">
        <v>0</v>
      </c>
      <c r="J162" s="255">
        <v>0</v>
      </c>
    </row>
    <row r="163" spans="1:10" ht="16">
      <c r="A163" s="816"/>
      <c r="B163" s="817"/>
      <c r="C163" s="817"/>
      <c r="D163" s="67" t="s">
        <v>117</v>
      </c>
      <c r="E163" s="71">
        <f t="shared" ref="E163:E169" si="32">SUM(F163:J163)</f>
        <v>0</v>
      </c>
      <c r="F163" s="125">
        <v>0</v>
      </c>
      <c r="G163" s="125">
        <v>0</v>
      </c>
      <c r="H163" s="126">
        <v>0</v>
      </c>
      <c r="I163" s="255">
        <v>0</v>
      </c>
      <c r="J163" s="255">
        <v>0</v>
      </c>
    </row>
    <row r="164" spans="1:10" ht="16">
      <c r="A164" s="816"/>
      <c r="B164" s="817"/>
      <c r="C164" s="817"/>
      <c r="D164" s="67" t="s">
        <v>118</v>
      </c>
      <c r="E164" s="71">
        <f t="shared" si="32"/>
        <v>0</v>
      </c>
      <c r="F164" s="125">
        <v>0</v>
      </c>
      <c r="G164" s="125">
        <v>0</v>
      </c>
      <c r="H164" s="126">
        <v>0</v>
      </c>
      <c r="I164" s="255">
        <v>0</v>
      </c>
      <c r="J164" s="255">
        <v>0</v>
      </c>
    </row>
    <row r="165" spans="1:10" ht="16">
      <c r="A165" s="816"/>
      <c r="B165" s="817"/>
      <c r="C165" s="817"/>
      <c r="D165" s="67" t="s">
        <v>119</v>
      </c>
      <c r="E165" s="71">
        <f t="shared" si="32"/>
        <v>0</v>
      </c>
      <c r="F165" s="125">
        <v>0</v>
      </c>
      <c r="G165" s="125">
        <v>0</v>
      </c>
      <c r="H165" s="126">
        <v>0</v>
      </c>
      <c r="I165" s="255">
        <v>0</v>
      </c>
      <c r="J165" s="255">
        <v>0</v>
      </c>
    </row>
    <row r="166" spans="1:10" ht="16">
      <c r="A166" s="816"/>
      <c r="B166" s="817"/>
      <c r="C166" s="817"/>
      <c r="D166" s="67" t="s">
        <v>120</v>
      </c>
      <c r="E166" s="71">
        <f t="shared" si="32"/>
        <v>0</v>
      </c>
      <c r="F166" s="125">
        <v>0</v>
      </c>
      <c r="G166" s="125">
        <v>0</v>
      </c>
      <c r="H166" s="126">
        <v>0</v>
      </c>
      <c r="I166" s="255">
        <v>0</v>
      </c>
      <c r="J166" s="255">
        <v>0</v>
      </c>
    </row>
    <row r="167" spans="1:10" ht="16">
      <c r="A167" s="816"/>
      <c r="B167" s="817"/>
      <c r="C167" s="817"/>
      <c r="D167" s="67" t="s">
        <v>121</v>
      </c>
      <c r="E167" s="71">
        <f t="shared" si="32"/>
        <v>0</v>
      </c>
      <c r="F167" s="125">
        <v>0</v>
      </c>
      <c r="G167" s="125">
        <v>0</v>
      </c>
      <c r="H167" s="126">
        <v>0</v>
      </c>
      <c r="I167" s="255">
        <v>0</v>
      </c>
      <c r="J167" s="255">
        <v>0</v>
      </c>
    </row>
    <row r="168" spans="1:10" ht="16">
      <c r="A168" s="816"/>
      <c r="B168" s="817"/>
      <c r="C168" s="817"/>
      <c r="D168" s="67" t="s">
        <v>122</v>
      </c>
      <c r="E168" s="71">
        <f t="shared" si="32"/>
        <v>0</v>
      </c>
      <c r="F168" s="125">
        <v>0</v>
      </c>
      <c r="G168" s="125">
        <v>0</v>
      </c>
      <c r="H168" s="126">
        <v>0</v>
      </c>
      <c r="I168" s="255">
        <v>0</v>
      </c>
      <c r="J168" s="255">
        <v>0</v>
      </c>
    </row>
    <row r="169" spans="1:10" ht="16">
      <c r="A169" s="816"/>
      <c r="B169" s="817"/>
      <c r="C169" s="817"/>
      <c r="D169" s="67" t="s">
        <v>123</v>
      </c>
      <c r="E169" s="71">
        <f t="shared" si="32"/>
        <v>0</v>
      </c>
      <c r="F169" s="125">
        <v>0</v>
      </c>
      <c r="G169" s="125">
        <v>0</v>
      </c>
      <c r="H169" s="126">
        <v>0</v>
      </c>
      <c r="I169" s="255">
        <v>0</v>
      </c>
      <c r="J169" s="255">
        <v>0</v>
      </c>
    </row>
    <row r="170" spans="1:10" ht="17" thickBot="1">
      <c r="A170" s="816"/>
      <c r="B170" s="817"/>
      <c r="C170" s="817"/>
      <c r="D170" s="68" t="s">
        <v>124</v>
      </c>
      <c r="E170" s="72">
        <f>SUM(F170:J170)</f>
        <v>0</v>
      </c>
      <c r="F170" s="127">
        <v>0</v>
      </c>
      <c r="G170" s="127">
        <v>0</v>
      </c>
      <c r="H170" s="128">
        <v>0</v>
      </c>
      <c r="I170" s="256">
        <v>0</v>
      </c>
      <c r="J170" s="256">
        <v>0</v>
      </c>
    </row>
  </sheetData>
  <mergeCells count="52">
    <mergeCell ref="A130:A139"/>
    <mergeCell ref="B130:B139"/>
    <mergeCell ref="C130:C139"/>
    <mergeCell ref="A140:A149"/>
    <mergeCell ref="B140:B149"/>
    <mergeCell ref="C140:C149"/>
    <mergeCell ref="A119:A128"/>
    <mergeCell ref="B119:B128"/>
    <mergeCell ref="C119:C128"/>
    <mergeCell ref="A1:D1"/>
    <mergeCell ref="A99:A108"/>
    <mergeCell ref="B99:B108"/>
    <mergeCell ref="C99:C108"/>
    <mergeCell ref="A109:A118"/>
    <mergeCell ref="B109:B118"/>
    <mergeCell ref="C109:C118"/>
    <mergeCell ref="A79:A88"/>
    <mergeCell ref="B79:B88"/>
    <mergeCell ref="C79:C88"/>
    <mergeCell ref="A89:A98"/>
    <mergeCell ref="B89:B98"/>
    <mergeCell ref="C89:C98"/>
    <mergeCell ref="A56:C56"/>
    <mergeCell ref="A58:A67"/>
    <mergeCell ref="B58:B67"/>
    <mergeCell ref="C58:C67"/>
    <mergeCell ref="A68:A77"/>
    <mergeCell ref="B68:B77"/>
    <mergeCell ref="C68:C77"/>
    <mergeCell ref="A36:A45"/>
    <mergeCell ref="B36:B45"/>
    <mergeCell ref="C36:C45"/>
    <mergeCell ref="A3:C3"/>
    <mergeCell ref="A46:A55"/>
    <mergeCell ref="B46:B55"/>
    <mergeCell ref="C46:C55"/>
    <mergeCell ref="A15:A24"/>
    <mergeCell ref="B15:B24"/>
    <mergeCell ref="C15:C24"/>
    <mergeCell ref="A26:A35"/>
    <mergeCell ref="B26:B35"/>
    <mergeCell ref="C26:C35"/>
    <mergeCell ref="C5:C14"/>
    <mergeCell ref="A5:A14"/>
    <mergeCell ref="B5:B14"/>
    <mergeCell ref="A150:C150"/>
    <mergeCell ref="A151:A160"/>
    <mergeCell ref="B151:B160"/>
    <mergeCell ref="C151:C160"/>
    <mergeCell ref="A161:A170"/>
    <mergeCell ref="B161:B170"/>
    <mergeCell ref="C161:C170"/>
  </mergeCells>
  <pageMargins left="0.7" right="0.7" top="0.75" bottom="0.75" header="0.3" footer="0.3"/>
  <pageSetup paperSize="9" scale="29" orientation="portrait" r:id="rId1"/>
  <ignoredErrors>
    <ignoredError sqref="E25 E78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CC"/>
    <outlinePr summaryBelow="0" summaryRight="0"/>
  </sheetPr>
  <dimension ref="A1:K84"/>
  <sheetViews>
    <sheetView topLeftCell="A35" zoomScaleNormal="100" workbookViewId="0">
      <selection activeCell="A34" sqref="A34:C34"/>
    </sheetView>
  </sheetViews>
  <sheetFormatPr baseColWidth="10" defaultColWidth="8.83203125" defaultRowHeight="15" outlineLevelRow="1" outlineLevelCol="1"/>
  <cols>
    <col min="1" max="1" width="22.5" customWidth="1"/>
    <col min="2" max="2" width="23.33203125" customWidth="1"/>
    <col min="3" max="3" width="22.5" customWidth="1"/>
    <col min="5" max="5" width="17.83203125" customWidth="1"/>
    <col min="6" max="9" width="19.33203125" customWidth="1" outlineLevel="1"/>
    <col min="10" max="10" width="31" customWidth="1" outlineLevel="1"/>
    <col min="11" max="11" width="19" customWidth="1"/>
  </cols>
  <sheetData>
    <row r="1" spans="1:11" ht="36" customHeight="1" thickBot="1">
      <c r="A1" s="812" t="s">
        <v>235</v>
      </c>
      <c r="B1" s="812"/>
      <c r="C1" s="812"/>
      <c r="D1" s="813"/>
      <c r="E1" s="69" t="s">
        <v>125</v>
      </c>
      <c r="F1" s="294" t="s">
        <v>256</v>
      </c>
      <c r="G1" s="294" t="s">
        <v>257</v>
      </c>
      <c r="H1" s="294" t="s">
        <v>258</v>
      </c>
      <c r="I1" s="294" t="s">
        <v>259</v>
      </c>
      <c r="J1" s="294" t="s">
        <v>260</v>
      </c>
      <c r="K1" s="294" t="s">
        <v>80</v>
      </c>
    </row>
    <row r="2" spans="1:11" ht="16" thickBot="1">
      <c r="A2" s="39" t="s">
        <v>217</v>
      </c>
      <c r="B2" s="74" t="s">
        <v>218</v>
      </c>
      <c r="C2" s="74" t="s">
        <v>219</v>
      </c>
      <c r="D2" s="74" t="s">
        <v>111</v>
      </c>
      <c r="E2" s="16"/>
      <c r="F2" s="16"/>
      <c r="G2" s="16"/>
      <c r="H2" s="16"/>
      <c r="I2" s="16"/>
      <c r="J2" s="16"/>
      <c r="K2" s="16"/>
    </row>
    <row r="3" spans="1:11" ht="16" thickBot="1">
      <c r="A3" s="821" t="s">
        <v>261</v>
      </c>
      <c r="B3" s="821"/>
      <c r="C3" s="821"/>
      <c r="D3" s="73"/>
      <c r="E3" s="76">
        <f t="shared" ref="E3:K3" si="0">SUM(E4:E33)</f>
        <v>0</v>
      </c>
      <c r="F3" s="77">
        <f t="shared" si="0"/>
        <v>0</v>
      </c>
      <c r="G3" s="77">
        <f t="shared" si="0"/>
        <v>0</v>
      </c>
      <c r="H3" s="253">
        <f t="shared" si="0"/>
        <v>0</v>
      </c>
      <c r="I3" s="253">
        <f t="shared" si="0"/>
        <v>0</v>
      </c>
      <c r="J3" s="253">
        <f>SUM(J4:J33)</f>
        <v>0</v>
      </c>
      <c r="K3" s="78">
        <f t="shared" si="0"/>
        <v>0</v>
      </c>
    </row>
    <row r="4" spans="1:11" ht="16" outlineLevel="1">
      <c r="A4" s="816" t="s">
        <v>262</v>
      </c>
      <c r="B4" s="816" t="s">
        <v>239</v>
      </c>
      <c r="C4" s="817">
        <v>713002</v>
      </c>
      <c r="D4" s="66" t="s">
        <v>115</v>
      </c>
      <c r="E4" s="70">
        <f>SUM(F4:K4)</f>
        <v>0</v>
      </c>
      <c r="F4" s="114">
        <v>0</v>
      </c>
      <c r="G4" s="115">
        <v>0</v>
      </c>
      <c r="H4" s="258">
        <v>0</v>
      </c>
      <c r="I4" s="258">
        <v>0</v>
      </c>
      <c r="J4" s="258">
        <v>0</v>
      </c>
      <c r="K4" s="116">
        <v>0</v>
      </c>
    </row>
    <row r="5" spans="1:11" ht="16" outlineLevel="1">
      <c r="A5" s="816"/>
      <c r="B5" s="817"/>
      <c r="C5" s="817"/>
      <c r="D5" s="67" t="s">
        <v>116</v>
      </c>
      <c r="E5" s="71">
        <f t="shared" ref="E5:E33" si="1">SUM(F5:K5)</f>
        <v>0</v>
      </c>
      <c r="F5" s="117">
        <v>0</v>
      </c>
      <c r="G5" s="118">
        <v>0</v>
      </c>
      <c r="H5" s="259">
        <v>0</v>
      </c>
      <c r="I5" s="259">
        <v>0</v>
      </c>
      <c r="J5" s="259">
        <v>0</v>
      </c>
      <c r="K5" s="119">
        <v>0</v>
      </c>
    </row>
    <row r="6" spans="1:11" ht="16" outlineLevel="1">
      <c r="A6" s="816"/>
      <c r="B6" s="817"/>
      <c r="C6" s="817"/>
      <c r="D6" s="67" t="s">
        <v>117</v>
      </c>
      <c r="E6" s="71">
        <f t="shared" si="1"/>
        <v>0</v>
      </c>
      <c r="F6" s="117">
        <v>0</v>
      </c>
      <c r="G6" s="118">
        <v>0</v>
      </c>
      <c r="H6" s="259">
        <v>0</v>
      </c>
      <c r="I6" s="259">
        <v>0</v>
      </c>
      <c r="J6" s="259">
        <v>0</v>
      </c>
      <c r="K6" s="119">
        <v>0</v>
      </c>
    </row>
    <row r="7" spans="1:11" ht="16" outlineLevel="1">
      <c r="A7" s="816"/>
      <c r="B7" s="817"/>
      <c r="C7" s="817"/>
      <c r="D7" s="67" t="s">
        <v>118</v>
      </c>
      <c r="E7" s="71">
        <f t="shared" si="1"/>
        <v>0</v>
      </c>
      <c r="F7" s="117">
        <v>0</v>
      </c>
      <c r="G7" s="118">
        <v>0</v>
      </c>
      <c r="H7" s="259">
        <v>0</v>
      </c>
      <c r="I7" s="259">
        <v>0</v>
      </c>
      <c r="J7" s="259">
        <v>0</v>
      </c>
      <c r="K7" s="119">
        <v>0</v>
      </c>
    </row>
    <row r="8" spans="1:11" ht="16" outlineLevel="1">
      <c r="A8" s="816"/>
      <c r="B8" s="817"/>
      <c r="C8" s="817"/>
      <c r="D8" s="67" t="s">
        <v>119</v>
      </c>
      <c r="E8" s="71">
        <f t="shared" si="1"/>
        <v>0</v>
      </c>
      <c r="F8" s="117">
        <v>0</v>
      </c>
      <c r="G8" s="118">
        <v>0</v>
      </c>
      <c r="H8" s="259">
        <v>0</v>
      </c>
      <c r="I8" s="259">
        <v>0</v>
      </c>
      <c r="J8" s="259">
        <v>0</v>
      </c>
      <c r="K8" s="119">
        <v>0</v>
      </c>
    </row>
    <row r="9" spans="1:11" ht="16" outlineLevel="1">
      <c r="A9" s="816"/>
      <c r="B9" s="817"/>
      <c r="C9" s="817"/>
      <c r="D9" s="67" t="s">
        <v>120</v>
      </c>
      <c r="E9" s="71">
        <f t="shared" si="1"/>
        <v>0</v>
      </c>
      <c r="F9" s="117">
        <v>0</v>
      </c>
      <c r="G9" s="118">
        <v>0</v>
      </c>
      <c r="H9" s="259">
        <v>0</v>
      </c>
      <c r="I9" s="259">
        <v>0</v>
      </c>
      <c r="J9" s="259">
        <v>0</v>
      </c>
      <c r="K9" s="119">
        <v>0</v>
      </c>
    </row>
    <row r="10" spans="1:11" ht="16" outlineLevel="1">
      <c r="A10" s="816"/>
      <c r="B10" s="817"/>
      <c r="C10" s="817"/>
      <c r="D10" s="67" t="s">
        <v>121</v>
      </c>
      <c r="E10" s="71">
        <f t="shared" si="1"/>
        <v>0</v>
      </c>
      <c r="F10" s="117">
        <v>0</v>
      </c>
      <c r="G10" s="118">
        <v>0</v>
      </c>
      <c r="H10" s="259">
        <v>0</v>
      </c>
      <c r="I10" s="259">
        <v>0</v>
      </c>
      <c r="J10" s="259">
        <v>0</v>
      </c>
      <c r="K10" s="119">
        <v>0</v>
      </c>
    </row>
    <row r="11" spans="1:11" ht="16" outlineLevel="1">
      <c r="A11" s="816"/>
      <c r="B11" s="817"/>
      <c r="C11" s="817"/>
      <c r="D11" s="67" t="s">
        <v>122</v>
      </c>
      <c r="E11" s="71">
        <f t="shared" si="1"/>
        <v>0</v>
      </c>
      <c r="F11" s="117">
        <v>0</v>
      </c>
      <c r="G11" s="118">
        <v>0</v>
      </c>
      <c r="H11" s="259">
        <v>0</v>
      </c>
      <c r="I11" s="259">
        <v>0</v>
      </c>
      <c r="J11" s="259">
        <v>0</v>
      </c>
      <c r="K11" s="119">
        <v>0</v>
      </c>
    </row>
    <row r="12" spans="1:11" ht="16" outlineLevel="1">
      <c r="A12" s="816"/>
      <c r="B12" s="817"/>
      <c r="C12" s="817"/>
      <c r="D12" s="67" t="s">
        <v>123</v>
      </c>
      <c r="E12" s="71">
        <f t="shared" si="1"/>
        <v>0</v>
      </c>
      <c r="F12" s="117">
        <v>0</v>
      </c>
      <c r="G12" s="118">
        <v>0</v>
      </c>
      <c r="H12" s="259">
        <v>0</v>
      </c>
      <c r="I12" s="259">
        <v>0</v>
      </c>
      <c r="J12" s="259">
        <v>0</v>
      </c>
      <c r="K12" s="119">
        <v>0</v>
      </c>
    </row>
    <row r="13" spans="1:11" ht="17" outlineLevel="1" thickBot="1">
      <c r="A13" s="816"/>
      <c r="B13" s="817"/>
      <c r="C13" s="817"/>
      <c r="D13" s="68" t="s">
        <v>124</v>
      </c>
      <c r="E13" s="72">
        <f t="shared" si="1"/>
        <v>0</v>
      </c>
      <c r="F13" s="120">
        <v>0</v>
      </c>
      <c r="G13" s="121">
        <v>0</v>
      </c>
      <c r="H13" s="260">
        <v>0</v>
      </c>
      <c r="I13" s="260">
        <v>0</v>
      </c>
      <c r="J13" s="260">
        <v>0</v>
      </c>
      <c r="K13" s="122">
        <v>0</v>
      </c>
    </row>
    <row r="14" spans="1:11" ht="15" customHeight="1" outlineLevel="1">
      <c r="A14" s="816" t="s">
        <v>263</v>
      </c>
      <c r="B14" s="816" t="s">
        <v>264</v>
      </c>
      <c r="C14" s="817">
        <v>633002</v>
      </c>
      <c r="D14" s="66" t="s">
        <v>115</v>
      </c>
      <c r="E14" s="71">
        <f t="shared" si="1"/>
        <v>0</v>
      </c>
      <c r="F14" s="114">
        <v>0</v>
      </c>
      <c r="G14" s="115">
        <v>0</v>
      </c>
      <c r="H14" s="258">
        <v>0</v>
      </c>
      <c r="I14" s="258">
        <v>0</v>
      </c>
      <c r="J14" s="258">
        <v>0</v>
      </c>
      <c r="K14" s="116">
        <v>0</v>
      </c>
    </row>
    <row r="15" spans="1:11" ht="16" outlineLevel="1">
      <c r="A15" s="816"/>
      <c r="B15" s="817"/>
      <c r="C15" s="817"/>
      <c r="D15" s="67" t="s">
        <v>116</v>
      </c>
      <c r="E15" s="71">
        <f t="shared" si="1"/>
        <v>0</v>
      </c>
      <c r="F15" s="117">
        <v>0</v>
      </c>
      <c r="G15" s="118">
        <v>0</v>
      </c>
      <c r="H15" s="259">
        <v>0</v>
      </c>
      <c r="I15" s="259">
        <v>0</v>
      </c>
      <c r="J15" s="259">
        <v>0</v>
      </c>
      <c r="K15" s="119">
        <v>0</v>
      </c>
    </row>
    <row r="16" spans="1:11" ht="16" outlineLevel="1">
      <c r="A16" s="816"/>
      <c r="B16" s="817"/>
      <c r="C16" s="817"/>
      <c r="D16" s="67" t="s">
        <v>117</v>
      </c>
      <c r="E16" s="71">
        <f t="shared" si="1"/>
        <v>0</v>
      </c>
      <c r="F16" s="117">
        <v>0</v>
      </c>
      <c r="G16" s="118">
        <v>0</v>
      </c>
      <c r="H16" s="259">
        <v>0</v>
      </c>
      <c r="I16" s="259">
        <v>0</v>
      </c>
      <c r="J16" s="259">
        <v>0</v>
      </c>
      <c r="K16" s="119">
        <v>0</v>
      </c>
    </row>
    <row r="17" spans="1:11" ht="16" outlineLevel="1">
      <c r="A17" s="816"/>
      <c r="B17" s="817"/>
      <c r="C17" s="817"/>
      <c r="D17" s="67" t="s">
        <v>118</v>
      </c>
      <c r="E17" s="71">
        <f t="shared" si="1"/>
        <v>0</v>
      </c>
      <c r="F17" s="117">
        <v>0</v>
      </c>
      <c r="G17" s="118">
        <v>0</v>
      </c>
      <c r="H17" s="259">
        <v>0</v>
      </c>
      <c r="I17" s="259">
        <v>0</v>
      </c>
      <c r="J17" s="259">
        <v>0</v>
      </c>
      <c r="K17" s="119">
        <v>0</v>
      </c>
    </row>
    <row r="18" spans="1:11" ht="16" outlineLevel="1">
      <c r="A18" s="816"/>
      <c r="B18" s="817"/>
      <c r="C18" s="817"/>
      <c r="D18" s="67" t="s">
        <v>119</v>
      </c>
      <c r="E18" s="71">
        <f t="shared" si="1"/>
        <v>0</v>
      </c>
      <c r="F18" s="117">
        <v>0</v>
      </c>
      <c r="G18" s="118">
        <v>0</v>
      </c>
      <c r="H18" s="259">
        <v>0</v>
      </c>
      <c r="I18" s="259">
        <v>0</v>
      </c>
      <c r="J18" s="259">
        <v>0</v>
      </c>
      <c r="K18" s="119">
        <v>0</v>
      </c>
    </row>
    <row r="19" spans="1:11" ht="16" outlineLevel="1">
      <c r="A19" s="816"/>
      <c r="B19" s="817"/>
      <c r="C19" s="817"/>
      <c r="D19" s="67" t="s">
        <v>120</v>
      </c>
      <c r="E19" s="71">
        <f t="shared" si="1"/>
        <v>0</v>
      </c>
      <c r="F19" s="117">
        <v>0</v>
      </c>
      <c r="G19" s="118">
        <v>0</v>
      </c>
      <c r="H19" s="259">
        <v>0</v>
      </c>
      <c r="I19" s="259">
        <v>0</v>
      </c>
      <c r="J19" s="259">
        <v>0</v>
      </c>
      <c r="K19" s="119">
        <v>0</v>
      </c>
    </row>
    <row r="20" spans="1:11" ht="16" outlineLevel="1">
      <c r="A20" s="816"/>
      <c r="B20" s="817"/>
      <c r="C20" s="817"/>
      <c r="D20" s="67" t="s">
        <v>121</v>
      </c>
      <c r="E20" s="71">
        <f t="shared" si="1"/>
        <v>0</v>
      </c>
      <c r="F20" s="117">
        <v>0</v>
      </c>
      <c r="G20" s="118">
        <v>0</v>
      </c>
      <c r="H20" s="259">
        <v>0</v>
      </c>
      <c r="I20" s="259">
        <v>0</v>
      </c>
      <c r="J20" s="259">
        <v>0</v>
      </c>
      <c r="K20" s="119">
        <v>0</v>
      </c>
    </row>
    <row r="21" spans="1:11" ht="16" outlineLevel="1">
      <c r="A21" s="816"/>
      <c r="B21" s="817"/>
      <c r="C21" s="817"/>
      <c r="D21" s="67" t="s">
        <v>122</v>
      </c>
      <c r="E21" s="71">
        <f t="shared" si="1"/>
        <v>0</v>
      </c>
      <c r="F21" s="117">
        <v>0</v>
      </c>
      <c r="G21" s="118">
        <v>0</v>
      </c>
      <c r="H21" s="259">
        <v>0</v>
      </c>
      <c r="I21" s="259">
        <v>0</v>
      </c>
      <c r="J21" s="259">
        <v>0</v>
      </c>
      <c r="K21" s="119">
        <v>0</v>
      </c>
    </row>
    <row r="22" spans="1:11" ht="16" outlineLevel="1">
      <c r="A22" s="816"/>
      <c r="B22" s="817"/>
      <c r="C22" s="817"/>
      <c r="D22" s="67" t="s">
        <v>123</v>
      </c>
      <c r="E22" s="71">
        <f t="shared" si="1"/>
        <v>0</v>
      </c>
      <c r="F22" s="117">
        <v>0</v>
      </c>
      <c r="G22" s="118">
        <v>0</v>
      </c>
      <c r="H22" s="259">
        <v>0</v>
      </c>
      <c r="I22" s="259">
        <v>0</v>
      </c>
      <c r="J22" s="259">
        <v>0</v>
      </c>
      <c r="K22" s="119">
        <v>0</v>
      </c>
    </row>
    <row r="23" spans="1:11" ht="17" outlineLevel="1" thickBot="1">
      <c r="A23" s="816"/>
      <c r="B23" s="817"/>
      <c r="C23" s="817"/>
      <c r="D23" s="68" t="s">
        <v>124</v>
      </c>
      <c r="E23" s="72">
        <f t="shared" si="1"/>
        <v>0</v>
      </c>
      <c r="F23" s="120">
        <v>0</v>
      </c>
      <c r="G23" s="121">
        <v>0</v>
      </c>
      <c r="H23" s="260">
        <v>0</v>
      </c>
      <c r="I23" s="260">
        <v>0</v>
      </c>
      <c r="J23" s="260">
        <v>0</v>
      </c>
      <c r="K23" s="122">
        <v>0</v>
      </c>
    </row>
    <row r="24" spans="1:11" ht="16" outlineLevel="1">
      <c r="A24" s="816" t="s">
        <v>242</v>
      </c>
      <c r="B24" s="817" t="s">
        <v>230</v>
      </c>
      <c r="C24" s="817">
        <v>637001</v>
      </c>
      <c r="D24" s="66" t="s">
        <v>115</v>
      </c>
      <c r="E24" s="71">
        <f t="shared" si="1"/>
        <v>0</v>
      </c>
      <c r="F24" s="114">
        <v>0</v>
      </c>
      <c r="G24" s="115">
        <v>0</v>
      </c>
      <c r="H24" s="258">
        <v>0</v>
      </c>
      <c r="I24" s="258">
        <v>0</v>
      </c>
      <c r="J24" s="258">
        <v>0</v>
      </c>
      <c r="K24" s="116">
        <v>0</v>
      </c>
    </row>
    <row r="25" spans="1:11" ht="16" outlineLevel="1">
      <c r="A25" s="816"/>
      <c r="B25" s="817"/>
      <c r="C25" s="817"/>
      <c r="D25" s="67" t="s">
        <v>116</v>
      </c>
      <c r="E25" s="71">
        <f t="shared" si="1"/>
        <v>0</v>
      </c>
      <c r="F25" s="117">
        <v>0</v>
      </c>
      <c r="G25" s="118">
        <v>0</v>
      </c>
      <c r="H25" s="259">
        <v>0</v>
      </c>
      <c r="I25" s="259">
        <v>0</v>
      </c>
      <c r="J25" s="259">
        <v>0</v>
      </c>
      <c r="K25" s="119">
        <v>0</v>
      </c>
    </row>
    <row r="26" spans="1:11" ht="16" outlineLevel="1">
      <c r="A26" s="816"/>
      <c r="B26" s="817"/>
      <c r="C26" s="817"/>
      <c r="D26" s="67" t="s">
        <v>117</v>
      </c>
      <c r="E26" s="71">
        <f t="shared" si="1"/>
        <v>0</v>
      </c>
      <c r="F26" s="117">
        <v>0</v>
      </c>
      <c r="G26" s="118">
        <v>0</v>
      </c>
      <c r="H26" s="259">
        <v>0</v>
      </c>
      <c r="I26" s="259">
        <v>0</v>
      </c>
      <c r="J26" s="259">
        <v>0</v>
      </c>
      <c r="K26" s="119">
        <v>0</v>
      </c>
    </row>
    <row r="27" spans="1:11" ht="16" outlineLevel="1">
      <c r="A27" s="816"/>
      <c r="B27" s="817"/>
      <c r="C27" s="817"/>
      <c r="D27" s="67" t="s">
        <v>118</v>
      </c>
      <c r="E27" s="71">
        <f t="shared" si="1"/>
        <v>0</v>
      </c>
      <c r="F27" s="117">
        <v>0</v>
      </c>
      <c r="G27" s="118">
        <v>0</v>
      </c>
      <c r="H27" s="259">
        <v>0</v>
      </c>
      <c r="I27" s="259">
        <v>0</v>
      </c>
      <c r="J27" s="259">
        <v>0</v>
      </c>
      <c r="K27" s="119">
        <v>0</v>
      </c>
    </row>
    <row r="28" spans="1:11" ht="16" outlineLevel="1">
      <c r="A28" s="816"/>
      <c r="B28" s="817"/>
      <c r="C28" s="817"/>
      <c r="D28" s="67" t="s">
        <v>119</v>
      </c>
      <c r="E28" s="71">
        <f t="shared" si="1"/>
        <v>0</v>
      </c>
      <c r="F28" s="117">
        <v>0</v>
      </c>
      <c r="G28" s="118">
        <v>0</v>
      </c>
      <c r="H28" s="259">
        <v>0</v>
      </c>
      <c r="I28" s="259">
        <v>0</v>
      </c>
      <c r="J28" s="259">
        <v>0</v>
      </c>
      <c r="K28" s="119">
        <v>0</v>
      </c>
    </row>
    <row r="29" spans="1:11" ht="16" outlineLevel="1">
      <c r="A29" s="816"/>
      <c r="B29" s="817"/>
      <c r="C29" s="817"/>
      <c r="D29" s="67" t="s">
        <v>120</v>
      </c>
      <c r="E29" s="71">
        <f t="shared" si="1"/>
        <v>0</v>
      </c>
      <c r="F29" s="117">
        <v>0</v>
      </c>
      <c r="G29" s="118">
        <v>0</v>
      </c>
      <c r="H29" s="259">
        <v>0</v>
      </c>
      <c r="I29" s="259">
        <v>0</v>
      </c>
      <c r="J29" s="259">
        <v>0</v>
      </c>
      <c r="K29" s="119">
        <v>0</v>
      </c>
    </row>
    <row r="30" spans="1:11" ht="16" outlineLevel="1">
      <c r="A30" s="816"/>
      <c r="B30" s="817"/>
      <c r="C30" s="817"/>
      <c r="D30" s="67" t="s">
        <v>121</v>
      </c>
      <c r="E30" s="71">
        <f t="shared" si="1"/>
        <v>0</v>
      </c>
      <c r="F30" s="117">
        <v>0</v>
      </c>
      <c r="G30" s="118">
        <v>0</v>
      </c>
      <c r="H30" s="259">
        <v>0</v>
      </c>
      <c r="I30" s="259">
        <v>0</v>
      </c>
      <c r="J30" s="259">
        <v>0</v>
      </c>
      <c r="K30" s="119">
        <v>0</v>
      </c>
    </row>
    <row r="31" spans="1:11" ht="16" outlineLevel="1">
      <c r="A31" s="816"/>
      <c r="B31" s="817"/>
      <c r="C31" s="817"/>
      <c r="D31" s="67" t="s">
        <v>122</v>
      </c>
      <c r="E31" s="71">
        <f t="shared" si="1"/>
        <v>0</v>
      </c>
      <c r="F31" s="117">
        <v>0</v>
      </c>
      <c r="G31" s="118">
        <v>0</v>
      </c>
      <c r="H31" s="259">
        <v>0</v>
      </c>
      <c r="I31" s="259">
        <v>0</v>
      </c>
      <c r="J31" s="259">
        <v>0</v>
      </c>
      <c r="K31" s="119">
        <v>0</v>
      </c>
    </row>
    <row r="32" spans="1:11" ht="16" outlineLevel="1">
      <c r="A32" s="816"/>
      <c r="B32" s="817"/>
      <c r="C32" s="817"/>
      <c r="D32" s="67" t="s">
        <v>123</v>
      </c>
      <c r="E32" s="71">
        <f t="shared" si="1"/>
        <v>0</v>
      </c>
      <c r="F32" s="117">
        <v>0</v>
      </c>
      <c r="G32" s="118">
        <v>0</v>
      </c>
      <c r="H32" s="259">
        <v>0</v>
      </c>
      <c r="I32" s="259">
        <v>0</v>
      </c>
      <c r="J32" s="259">
        <v>0</v>
      </c>
      <c r="K32" s="119">
        <v>0</v>
      </c>
    </row>
    <row r="33" spans="1:11" ht="17" outlineLevel="1" thickBot="1">
      <c r="A33" s="816"/>
      <c r="B33" s="817"/>
      <c r="C33" s="817"/>
      <c r="D33" s="68" t="s">
        <v>124</v>
      </c>
      <c r="E33" s="71">
        <f t="shared" si="1"/>
        <v>0</v>
      </c>
      <c r="F33" s="120">
        <v>0</v>
      </c>
      <c r="G33" s="121">
        <v>0</v>
      </c>
      <c r="H33" s="260">
        <v>0</v>
      </c>
      <c r="I33" s="260">
        <v>0</v>
      </c>
      <c r="J33" s="260">
        <v>0</v>
      </c>
      <c r="K33" s="122">
        <v>0</v>
      </c>
    </row>
    <row r="34" spans="1:11" ht="16" thickBot="1">
      <c r="A34" s="818" t="s">
        <v>236</v>
      </c>
      <c r="B34" s="818"/>
      <c r="C34" s="818"/>
      <c r="D34" s="75"/>
      <c r="E34" s="76">
        <f t="shared" ref="E34:K34" si="2">SUM(E35:E84)</f>
        <v>0</v>
      </c>
      <c r="F34" s="77">
        <f t="shared" si="2"/>
        <v>0</v>
      </c>
      <c r="G34" s="77">
        <f t="shared" si="2"/>
        <v>0</v>
      </c>
      <c r="H34" s="253">
        <f t="shared" si="2"/>
        <v>0</v>
      </c>
      <c r="I34" s="253">
        <f t="shared" si="2"/>
        <v>0</v>
      </c>
      <c r="J34" s="253">
        <f>SUM(J35:J84)</f>
        <v>0</v>
      </c>
      <c r="K34" s="78">
        <f t="shared" si="2"/>
        <v>0</v>
      </c>
    </row>
    <row r="35" spans="1:11" ht="16" outlineLevel="1">
      <c r="A35" s="816" t="s">
        <v>237</v>
      </c>
      <c r="B35" s="817" t="s">
        <v>223</v>
      </c>
      <c r="C35" s="817">
        <v>635002</v>
      </c>
      <c r="D35" s="66" t="s">
        <v>115</v>
      </c>
      <c r="E35" s="70">
        <f t="shared" ref="E35:E84" si="3">SUM(F35:K35)</f>
        <v>0</v>
      </c>
      <c r="F35" s="114">
        <v>0</v>
      </c>
      <c r="G35" s="115">
        <v>0</v>
      </c>
      <c r="H35" s="258">
        <v>0</v>
      </c>
      <c r="I35" s="258">
        <v>0</v>
      </c>
      <c r="J35" s="258">
        <v>0</v>
      </c>
      <c r="K35" s="116">
        <v>0</v>
      </c>
    </row>
    <row r="36" spans="1:11" ht="16" outlineLevel="1">
      <c r="A36" s="816"/>
      <c r="B36" s="817"/>
      <c r="C36" s="817"/>
      <c r="D36" s="67" t="s">
        <v>116</v>
      </c>
      <c r="E36" s="71">
        <f t="shared" si="3"/>
        <v>0</v>
      </c>
      <c r="F36" s="117">
        <v>0</v>
      </c>
      <c r="G36" s="118">
        <v>0</v>
      </c>
      <c r="H36" s="259">
        <v>0</v>
      </c>
      <c r="I36" s="259">
        <v>0</v>
      </c>
      <c r="J36" s="259">
        <v>0</v>
      </c>
      <c r="K36" s="119">
        <v>0</v>
      </c>
    </row>
    <row r="37" spans="1:11" ht="16" outlineLevel="1">
      <c r="A37" s="816"/>
      <c r="B37" s="817"/>
      <c r="C37" s="817"/>
      <c r="D37" s="67" t="s">
        <v>117</v>
      </c>
      <c r="E37" s="71">
        <f t="shared" si="3"/>
        <v>0</v>
      </c>
      <c r="F37" s="117">
        <v>0</v>
      </c>
      <c r="G37" s="118">
        <v>0</v>
      </c>
      <c r="H37" s="259">
        <v>0</v>
      </c>
      <c r="I37" s="259">
        <v>0</v>
      </c>
      <c r="J37" s="259">
        <v>0</v>
      </c>
      <c r="K37" s="119">
        <v>0</v>
      </c>
    </row>
    <row r="38" spans="1:11" ht="16" outlineLevel="1">
      <c r="A38" s="816"/>
      <c r="B38" s="817"/>
      <c r="C38" s="817"/>
      <c r="D38" s="67" t="s">
        <v>118</v>
      </c>
      <c r="E38" s="71">
        <f t="shared" si="3"/>
        <v>0</v>
      </c>
      <c r="F38" s="117">
        <v>0</v>
      </c>
      <c r="G38" s="118">
        <v>0</v>
      </c>
      <c r="H38" s="259">
        <v>0</v>
      </c>
      <c r="I38" s="259">
        <v>0</v>
      </c>
      <c r="J38" s="259">
        <v>0</v>
      </c>
      <c r="K38" s="119">
        <v>0</v>
      </c>
    </row>
    <row r="39" spans="1:11" ht="16" outlineLevel="1">
      <c r="A39" s="816"/>
      <c r="B39" s="817"/>
      <c r="C39" s="817"/>
      <c r="D39" s="67" t="s">
        <v>119</v>
      </c>
      <c r="E39" s="71">
        <f t="shared" si="3"/>
        <v>0</v>
      </c>
      <c r="F39" s="117">
        <v>0</v>
      </c>
      <c r="G39" s="118">
        <v>0</v>
      </c>
      <c r="H39" s="259">
        <v>0</v>
      </c>
      <c r="I39" s="259">
        <v>0</v>
      </c>
      <c r="J39" s="259">
        <v>0</v>
      </c>
      <c r="K39" s="119">
        <v>0</v>
      </c>
    </row>
    <row r="40" spans="1:11" ht="16" outlineLevel="1">
      <c r="A40" s="816"/>
      <c r="B40" s="817"/>
      <c r="C40" s="817"/>
      <c r="D40" s="67" t="s">
        <v>120</v>
      </c>
      <c r="E40" s="71">
        <f t="shared" si="3"/>
        <v>0</v>
      </c>
      <c r="F40" s="117">
        <v>0</v>
      </c>
      <c r="G40" s="118">
        <v>0</v>
      </c>
      <c r="H40" s="259">
        <v>0</v>
      </c>
      <c r="I40" s="259">
        <v>0</v>
      </c>
      <c r="J40" s="259">
        <v>0</v>
      </c>
      <c r="K40" s="119">
        <v>0</v>
      </c>
    </row>
    <row r="41" spans="1:11" ht="16" outlineLevel="1">
      <c r="A41" s="816"/>
      <c r="B41" s="817"/>
      <c r="C41" s="817"/>
      <c r="D41" s="67" t="s">
        <v>121</v>
      </c>
      <c r="E41" s="71">
        <f t="shared" si="3"/>
        <v>0</v>
      </c>
      <c r="F41" s="117">
        <v>0</v>
      </c>
      <c r="G41" s="118">
        <v>0</v>
      </c>
      <c r="H41" s="259">
        <v>0</v>
      </c>
      <c r="I41" s="259">
        <v>0</v>
      </c>
      <c r="J41" s="259">
        <v>0</v>
      </c>
      <c r="K41" s="119">
        <v>0</v>
      </c>
    </row>
    <row r="42" spans="1:11" ht="16" outlineLevel="1">
      <c r="A42" s="816"/>
      <c r="B42" s="817"/>
      <c r="C42" s="817"/>
      <c r="D42" s="67" t="s">
        <v>122</v>
      </c>
      <c r="E42" s="71">
        <f t="shared" si="3"/>
        <v>0</v>
      </c>
      <c r="F42" s="117">
        <v>0</v>
      </c>
      <c r="G42" s="118">
        <v>0</v>
      </c>
      <c r="H42" s="259">
        <v>0</v>
      </c>
      <c r="I42" s="259">
        <v>0</v>
      </c>
      <c r="J42" s="259">
        <v>0</v>
      </c>
      <c r="K42" s="119">
        <v>0</v>
      </c>
    </row>
    <row r="43" spans="1:11" ht="16" outlineLevel="1">
      <c r="A43" s="816"/>
      <c r="B43" s="817"/>
      <c r="C43" s="817"/>
      <c r="D43" s="67" t="s">
        <v>123</v>
      </c>
      <c r="E43" s="71">
        <f t="shared" si="3"/>
        <v>0</v>
      </c>
      <c r="F43" s="117">
        <v>0</v>
      </c>
      <c r="G43" s="118">
        <v>0</v>
      </c>
      <c r="H43" s="259">
        <v>0</v>
      </c>
      <c r="I43" s="259">
        <v>0</v>
      </c>
      <c r="J43" s="259">
        <v>0</v>
      </c>
      <c r="K43" s="119">
        <v>0</v>
      </c>
    </row>
    <row r="44" spans="1:11" ht="17" outlineLevel="1" thickBot="1">
      <c r="A44" s="816"/>
      <c r="B44" s="817"/>
      <c r="C44" s="817"/>
      <c r="D44" s="68" t="s">
        <v>124</v>
      </c>
      <c r="E44" s="72">
        <f t="shared" si="3"/>
        <v>0</v>
      </c>
      <c r="F44" s="120">
        <v>0</v>
      </c>
      <c r="G44" s="121">
        <v>0</v>
      </c>
      <c r="H44" s="260">
        <v>0</v>
      </c>
      <c r="I44" s="260">
        <v>0</v>
      </c>
      <c r="J44" s="260">
        <v>0</v>
      </c>
      <c r="K44" s="122">
        <v>0</v>
      </c>
    </row>
    <row r="45" spans="1:11" ht="16" outlineLevel="1">
      <c r="A45" s="816" t="s">
        <v>238</v>
      </c>
      <c r="B45" s="816" t="s">
        <v>239</v>
      </c>
      <c r="C45" s="817">
        <v>718002</v>
      </c>
      <c r="D45" s="66" t="s">
        <v>115</v>
      </c>
      <c r="E45" s="71">
        <f t="shared" si="3"/>
        <v>0</v>
      </c>
      <c r="F45" s="114">
        <v>0</v>
      </c>
      <c r="G45" s="115">
        <v>0</v>
      </c>
      <c r="H45" s="258">
        <v>0</v>
      </c>
      <c r="I45" s="258">
        <v>0</v>
      </c>
      <c r="J45" s="258">
        <v>0</v>
      </c>
      <c r="K45" s="116">
        <v>0</v>
      </c>
    </row>
    <row r="46" spans="1:11" ht="16" outlineLevel="1">
      <c r="A46" s="816"/>
      <c r="B46" s="817"/>
      <c r="C46" s="817"/>
      <c r="D46" s="67" t="s">
        <v>116</v>
      </c>
      <c r="E46" s="71">
        <f t="shared" si="3"/>
        <v>0</v>
      </c>
      <c r="F46" s="117">
        <v>0</v>
      </c>
      <c r="G46" s="118">
        <v>0</v>
      </c>
      <c r="H46" s="259">
        <v>0</v>
      </c>
      <c r="I46" s="259">
        <v>0</v>
      </c>
      <c r="J46" s="259">
        <v>0</v>
      </c>
      <c r="K46" s="119">
        <v>0</v>
      </c>
    </row>
    <row r="47" spans="1:11" ht="16" outlineLevel="1">
      <c r="A47" s="816"/>
      <c r="B47" s="817"/>
      <c r="C47" s="817"/>
      <c r="D47" s="67" t="s">
        <v>117</v>
      </c>
      <c r="E47" s="71">
        <f t="shared" si="3"/>
        <v>0</v>
      </c>
      <c r="F47" s="117">
        <v>0</v>
      </c>
      <c r="G47" s="118">
        <v>0</v>
      </c>
      <c r="H47" s="259">
        <v>0</v>
      </c>
      <c r="I47" s="259">
        <v>0</v>
      </c>
      <c r="J47" s="259">
        <v>0</v>
      </c>
      <c r="K47" s="119">
        <v>0</v>
      </c>
    </row>
    <row r="48" spans="1:11" ht="16" outlineLevel="1">
      <c r="A48" s="816"/>
      <c r="B48" s="817"/>
      <c r="C48" s="817"/>
      <c r="D48" s="67" t="s">
        <v>118</v>
      </c>
      <c r="E48" s="71">
        <f t="shared" si="3"/>
        <v>0</v>
      </c>
      <c r="F48" s="117">
        <v>0</v>
      </c>
      <c r="G48" s="118">
        <v>0</v>
      </c>
      <c r="H48" s="259">
        <v>0</v>
      </c>
      <c r="I48" s="259">
        <v>0</v>
      </c>
      <c r="J48" s="259">
        <v>0</v>
      </c>
      <c r="K48" s="119">
        <v>0</v>
      </c>
    </row>
    <row r="49" spans="1:11" ht="16" outlineLevel="1">
      <c r="A49" s="816"/>
      <c r="B49" s="817"/>
      <c r="C49" s="817"/>
      <c r="D49" s="67" t="s">
        <v>119</v>
      </c>
      <c r="E49" s="71">
        <f t="shared" si="3"/>
        <v>0</v>
      </c>
      <c r="F49" s="117">
        <v>0</v>
      </c>
      <c r="G49" s="118">
        <v>0</v>
      </c>
      <c r="H49" s="259">
        <v>0</v>
      </c>
      <c r="I49" s="259">
        <v>0</v>
      </c>
      <c r="J49" s="259">
        <v>0</v>
      </c>
      <c r="K49" s="119">
        <v>0</v>
      </c>
    </row>
    <row r="50" spans="1:11" ht="16" outlineLevel="1">
      <c r="A50" s="816"/>
      <c r="B50" s="817"/>
      <c r="C50" s="817"/>
      <c r="D50" s="67" t="s">
        <v>120</v>
      </c>
      <c r="E50" s="71">
        <f t="shared" si="3"/>
        <v>0</v>
      </c>
      <c r="F50" s="117">
        <v>0</v>
      </c>
      <c r="G50" s="118">
        <v>0</v>
      </c>
      <c r="H50" s="259">
        <v>0</v>
      </c>
      <c r="I50" s="259">
        <v>0</v>
      </c>
      <c r="J50" s="259">
        <v>0</v>
      </c>
      <c r="K50" s="119">
        <v>0</v>
      </c>
    </row>
    <row r="51" spans="1:11" ht="16" outlineLevel="1">
      <c r="A51" s="816"/>
      <c r="B51" s="817"/>
      <c r="C51" s="817"/>
      <c r="D51" s="67" t="s">
        <v>121</v>
      </c>
      <c r="E51" s="71">
        <f t="shared" si="3"/>
        <v>0</v>
      </c>
      <c r="F51" s="117">
        <v>0</v>
      </c>
      <c r="G51" s="118">
        <v>0</v>
      </c>
      <c r="H51" s="259">
        <v>0</v>
      </c>
      <c r="I51" s="259">
        <v>0</v>
      </c>
      <c r="J51" s="259">
        <v>0</v>
      </c>
      <c r="K51" s="119">
        <v>0</v>
      </c>
    </row>
    <row r="52" spans="1:11" ht="16" outlineLevel="1">
      <c r="A52" s="816"/>
      <c r="B52" s="817"/>
      <c r="C52" s="817"/>
      <c r="D52" s="67" t="s">
        <v>122</v>
      </c>
      <c r="E52" s="71">
        <f t="shared" si="3"/>
        <v>0</v>
      </c>
      <c r="F52" s="117">
        <v>0</v>
      </c>
      <c r="G52" s="118">
        <v>0</v>
      </c>
      <c r="H52" s="259">
        <v>0</v>
      </c>
      <c r="I52" s="259">
        <v>0</v>
      </c>
      <c r="J52" s="259">
        <v>0</v>
      </c>
      <c r="K52" s="119">
        <v>0</v>
      </c>
    </row>
    <row r="53" spans="1:11" ht="16" outlineLevel="1">
      <c r="A53" s="816"/>
      <c r="B53" s="817"/>
      <c r="C53" s="817"/>
      <c r="D53" s="67" t="s">
        <v>123</v>
      </c>
      <c r="E53" s="71">
        <f t="shared" si="3"/>
        <v>0</v>
      </c>
      <c r="F53" s="117">
        <v>0</v>
      </c>
      <c r="G53" s="118">
        <v>0</v>
      </c>
      <c r="H53" s="259">
        <v>0</v>
      </c>
      <c r="I53" s="259">
        <v>0</v>
      </c>
      <c r="J53" s="259">
        <v>0</v>
      </c>
      <c r="K53" s="119">
        <v>0</v>
      </c>
    </row>
    <row r="54" spans="1:11" ht="17" outlineLevel="1" thickBot="1">
      <c r="A54" s="816"/>
      <c r="B54" s="817"/>
      <c r="C54" s="817"/>
      <c r="D54" s="68" t="s">
        <v>124</v>
      </c>
      <c r="E54" s="72">
        <f t="shared" si="3"/>
        <v>0</v>
      </c>
      <c r="F54" s="120">
        <v>0</v>
      </c>
      <c r="G54" s="121">
        <v>0</v>
      </c>
      <c r="H54" s="260">
        <v>0</v>
      </c>
      <c r="I54" s="260">
        <v>0</v>
      </c>
      <c r="J54" s="260">
        <v>0</v>
      </c>
      <c r="K54" s="122">
        <v>0</v>
      </c>
    </row>
    <row r="55" spans="1:11" ht="16" outlineLevel="1">
      <c r="A55" s="816" t="s">
        <v>240</v>
      </c>
      <c r="B55" s="817"/>
      <c r="C55" s="817"/>
      <c r="D55" s="66" t="s">
        <v>115</v>
      </c>
      <c r="E55" s="71">
        <f t="shared" si="3"/>
        <v>0</v>
      </c>
      <c r="F55" s="114">
        <v>0</v>
      </c>
      <c r="G55" s="115">
        <v>0</v>
      </c>
      <c r="H55" s="258">
        <v>0</v>
      </c>
      <c r="I55" s="258">
        <v>0</v>
      </c>
      <c r="J55" s="258">
        <v>0</v>
      </c>
      <c r="K55" s="116">
        <v>0</v>
      </c>
    </row>
    <row r="56" spans="1:11" ht="16" outlineLevel="1">
      <c r="A56" s="816"/>
      <c r="B56" s="817"/>
      <c r="C56" s="817"/>
      <c r="D56" s="67" t="s">
        <v>116</v>
      </c>
      <c r="E56" s="71">
        <f t="shared" si="3"/>
        <v>0</v>
      </c>
      <c r="F56" s="117">
        <v>0</v>
      </c>
      <c r="G56" s="118">
        <v>0</v>
      </c>
      <c r="H56" s="259">
        <v>0</v>
      </c>
      <c r="I56" s="259">
        <v>0</v>
      </c>
      <c r="J56" s="259">
        <v>0</v>
      </c>
      <c r="K56" s="119">
        <v>0</v>
      </c>
    </row>
    <row r="57" spans="1:11" ht="16" outlineLevel="1">
      <c r="A57" s="816"/>
      <c r="B57" s="817"/>
      <c r="C57" s="817"/>
      <c r="D57" s="67" t="s">
        <v>117</v>
      </c>
      <c r="E57" s="71">
        <f t="shared" si="3"/>
        <v>0</v>
      </c>
      <c r="F57" s="117">
        <v>0</v>
      </c>
      <c r="G57" s="118">
        <v>0</v>
      </c>
      <c r="H57" s="259">
        <v>0</v>
      </c>
      <c r="I57" s="259">
        <v>0</v>
      </c>
      <c r="J57" s="259">
        <v>0</v>
      </c>
      <c r="K57" s="119">
        <v>0</v>
      </c>
    </row>
    <row r="58" spans="1:11" ht="16" outlineLevel="1">
      <c r="A58" s="816"/>
      <c r="B58" s="817"/>
      <c r="C58" s="817"/>
      <c r="D58" s="67" t="s">
        <v>118</v>
      </c>
      <c r="E58" s="71">
        <f t="shared" si="3"/>
        <v>0</v>
      </c>
      <c r="F58" s="117">
        <v>0</v>
      </c>
      <c r="G58" s="118">
        <v>0</v>
      </c>
      <c r="H58" s="259">
        <v>0</v>
      </c>
      <c r="I58" s="259">
        <v>0</v>
      </c>
      <c r="J58" s="259">
        <v>0</v>
      </c>
      <c r="K58" s="119">
        <v>0</v>
      </c>
    </row>
    <row r="59" spans="1:11" ht="16" outlineLevel="1">
      <c r="A59" s="816"/>
      <c r="B59" s="817"/>
      <c r="C59" s="817"/>
      <c r="D59" s="67" t="s">
        <v>119</v>
      </c>
      <c r="E59" s="71">
        <f t="shared" si="3"/>
        <v>0</v>
      </c>
      <c r="F59" s="117">
        <v>0</v>
      </c>
      <c r="G59" s="118">
        <v>0</v>
      </c>
      <c r="H59" s="259">
        <v>0</v>
      </c>
      <c r="I59" s="259">
        <v>0</v>
      </c>
      <c r="J59" s="259">
        <v>0</v>
      </c>
      <c r="K59" s="119">
        <v>0</v>
      </c>
    </row>
    <row r="60" spans="1:11" ht="16" outlineLevel="1">
      <c r="A60" s="816"/>
      <c r="B60" s="817"/>
      <c r="C60" s="817"/>
      <c r="D60" s="67" t="s">
        <v>120</v>
      </c>
      <c r="E60" s="71">
        <f t="shared" si="3"/>
        <v>0</v>
      </c>
      <c r="F60" s="117">
        <v>0</v>
      </c>
      <c r="G60" s="118">
        <v>0</v>
      </c>
      <c r="H60" s="259">
        <v>0</v>
      </c>
      <c r="I60" s="259">
        <v>0</v>
      </c>
      <c r="J60" s="259">
        <v>0</v>
      </c>
      <c r="K60" s="119">
        <v>0</v>
      </c>
    </row>
    <row r="61" spans="1:11" ht="16" outlineLevel="1">
      <c r="A61" s="816"/>
      <c r="B61" s="817"/>
      <c r="C61" s="817"/>
      <c r="D61" s="67" t="s">
        <v>121</v>
      </c>
      <c r="E61" s="71">
        <f t="shared" si="3"/>
        <v>0</v>
      </c>
      <c r="F61" s="117">
        <v>0</v>
      </c>
      <c r="G61" s="118">
        <v>0</v>
      </c>
      <c r="H61" s="259">
        <v>0</v>
      </c>
      <c r="I61" s="259">
        <v>0</v>
      </c>
      <c r="J61" s="259">
        <v>0</v>
      </c>
      <c r="K61" s="119">
        <v>0</v>
      </c>
    </row>
    <row r="62" spans="1:11" ht="16" outlineLevel="1">
      <c r="A62" s="816"/>
      <c r="B62" s="817"/>
      <c r="C62" s="817"/>
      <c r="D62" s="67" t="s">
        <v>122</v>
      </c>
      <c r="E62" s="71">
        <f t="shared" si="3"/>
        <v>0</v>
      </c>
      <c r="F62" s="117">
        <v>0</v>
      </c>
      <c r="G62" s="118">
        <v>0</v>
      </c>
      <c r="H62" s="259">
        <v>0</v>
      </c>
      <c r="I62" s="259">
        <v>0</v>
      </c>
      <c r="J62" s="259">
        <v>0</v>
      </c>
      <c r="K62" s="119">
        <v>0</v>
      </c>
    </row>
    <row r="63" spans="1:11" ht="16" outlineLevel="1">
      <c r="A63" s="816"/>
      <c r="B63" s="817"/>
      <c r="C63" s="817"/>
      <c r="D63" s="67" t="s">
        <v>123</v>
      </c>
      <c r="E63" s="71">
        <f t="shared" si="3"/>
        <v>0</v>
      </c>
      <c r="F63" s="117">
        <v>0</v>
      </c>
      <c r="G63" s="118">
        <v>0</v>
      </c>
      <c r="H63" s="259">
        <v>0</v>
      </c>
      <c r="I63" s="259">
        <v>0</v>
      </c>
      <c r="J63" s="259">
        <v>0</v>
      </c>
      <c r="K63" s="119">
        <v>0</v>
      </c>
    </row>
    <row r="64" spans="1:11" ht="17" outlineLevel="1" thickBot="1">
      <c r="A64" s="816"/>
      <c r="B64" s="817"/>
      <c r="C64" s="817"/>
      <c r="D64" s="68" t="s">
        <v>124</v>
      </c>
      <c r="E64" s="72">
        <f t="shared" si="3"/>
        <v>0</v>
      </c>
      <c r="F64" s="120">
        <v>0</v>
      </c>
      <c r="G64" s="121">
        <v>0</v>
      </c>
      <c r="H64" s="260">
        <v>0</v>
      </c>
      <c r="I64" s="260">
        <v>0</v>
      </c>
      <c r="J64" s="260">
        <v>0</v>
      </c>
      <c r="K64" s="122">
        <v>0</v>
      </c>
    </row>
    <row r="65" spans="1:11" ht="16" outlineLevel="1">
      <c r="A65" s="816" t="s">
        <v>241</v>
      </c>
      <c r="B65" s="817"/>
      <c r="C65" s="817"/>
      <c r="D65" s="66" t="s">
        <v>115</v>
      </c>
      <c r="E65" s="71">
        <f t="shared" si="3"/>
        <v>0</v>
      </c>
      <c r="F65" s="114">
        <v>0</v>
      </c>
      <c r="G65" s="115">
        <v>0</v>
      </c>
      <c r="H65" s="258">
        <v>0</v>
      </c>
      <c r="I65" s="258">
        <v>0</v>
      </c>
      <c r="J65" s="258">
        <v>0</v>
      </c>
      <c r="K65" s="116">
        <v>0</v>
      </c>
    </row>
    <row r="66" spans="1:11" ht="16" outlineLevel="1">
      <c r="A66" s="816"/>
      <c r="B66" s="817"/>
      <c r="C66" s="817"/>
      <c r="D66" s="67" t="s">
        <v>116</v>
      </c>
      <c r="E66" s="71">
        <f t="shared" si="3"/>
        <v>0</v>
      </c>
      <c r="F66" s="117">
        <v>0</v>
      </c>
      <c r="G66" s="118">
        <v>0</v>
      </c>
      <c r="H66" s="259">
        <v>0</v>
      </c>
      <c r="I66" s="259">
        <v>0</v>
      </c>
      <c r="J66" s="259">
        <v>0</v>
      </c>
      <c r="K66" s="119">
        <v>0</v>
      </c>
    </row>
    <row r="67" spans="1:11" ht="16" outlineLevel="1">
      <c r="A67" s="816"/>
      <c r="B67" s="817"/>
      <c r="C67" s="817"/>
      <c r="D67" s="67" t="s">
        <v>117</v>
      </c>
      <c r="E67" s="71">
        <f t="shared" si="3"/>
        <v>0</v>
      </c>
      <c r="F67" s="117">
        <v>0</v>
      </c>
      <c r="G67" s="118">
        <v>0</v>
      </c>
      <c r="H67" s="259">
        <v>0</v>
      </c>
      <c r="I67" s="259">
        <v>0</v>
      </c>
      <c r="J67" s="259">
        <v>0</v>
      </c>
      <c r="K67" s="119">
        <v>0</v>
      </c>
    </row>
    <row r="68" spans="1:11" ht="16" outlineLevel="1">
      <c r="A68" s="816"/>
      <c r="B68" s="817"/>
      <c r="C68" s="817"/>
      <c r="D68" s="67" t="s">
        <v>118</v>
      </c>
      <c r="E68" s="71">
        <f t="shared" si="3"/>
        <v>0</v>
      </c>
      <c r="F68" s="117">
        <v>0</v>
      </c>
      <c r="G68" s="118">
        <v>0</v>
      </c>
      <c r="H68" s="259">
        <v>0</v>
      </c>
      <c r="I68" s="259">
        <v>0</v>
      </c>
      <c r="J68" s="259">
        <v>0</v>
      </c>
      <c r="K68" s="119">
        <v>0</v>
      </c>
    </row>
    <row r="69" spans="1:11" ht="16" outlineLevel="1">
      <c r="A69" s="816"/>
      <c r="B69" s="817"/>
      <c r="C69" s="817"/>
      <c r="D69" s="67" t="s">
        <v>119</v>
      </c>
      <c r="E69" s="71">
        <f t="shared" si="3"/>
        <v>0</v>
      </c>
      <c r="F69" s="117">
        <v>0</v>
      </c>
      <c r="G69" s="118">
        <v>0</v>
      </c>
      <c r="H69" s="259">
        <v>0</v>
      </c>
      <c r="I69" s="259">
        <v>0</v>
      </c>
      <c r="J69" s="259">
        <v>0</v>
      </c>
      <c r="K69" s="119">
        <v>0</v>
      </c>
    </row>
    <row r="70" spans="1:11" ht="16" outlineLevel="1">
      <c r="A70" s="816"/>
      <c r="B70" s="817"/>
      <c r="C70" s="817"/>
      <c r="D70" s="67" t="s">
        <v>120</v>
      </c>
      <c r="E70" s="71">
        <f t="shared" si="3"/>
        <v>0</v>
      </c>
      <c r="F70" s="117">
        <v>0</v>
      </c>
      <c r="G70" s="118">
        <v>0</v>
      </c>
      <c r="H70" s="259">
        <v>0</v>
      </c>
      <c r="I70" s="259">
        <v>0</v>
      </c>
      <c r="J70" s="259">
        <v>0</v>
      </c>
      <c r="K70" s="119">
        <v>0</v>
      </c>
    </row>
    <row r="71" spans="1:11" ht="16" outlineLevel="1">
      <c r="A71" s="816"/>
      <c r="B71" s="817"/>
      <c r="C71" s="817"/>
      <c r="D71" s="67" t="s">
        <v>121</v>
      </c>
      <c r="E71" s="71">
        <f t="shared" si="3"/>
        <v>0</v>
      </c>
      <c r="F71" s="117">
        <v>0</v>
      </c>
      <c r="G71" s="118">
        <v>0</v>
      </c>
      <c r="H71" s="259">
        <v>0</v>
      </c>
      <c r="I71" s="259">
        <v>0</v>
      </c>
      <c r="J71" s="259">
        <v>0</v>
      </c>
      <c r="K71" s="119">
        <v>0</v>
      </c>
    </row>
    <row r="72" spans="1:11" ht="16" outlineLevel="1">
      <c r="A72" s="816"/>
      <c r="B72" s="817"/>
      <c r="C72" s="817"/>
      <c r="D72" s="67" t="s">
        <v>122</v>
      </c>
      <c r="E72" s="71">
        <f t="shared" si="3"/>
        <v>0</v>
      </c>
      <c r="F72" s="117">
        <v>0</v>
      </c>
      <c r="G72" s="118">
        <v>0</v>
      </c>
      <c r="H72" s="259">
        <v>0</v>
      </c>
      <c r="I72" s="259">
        <v>0</v>
      </c>
      <c r="J72" s="259">
        <v>0</v>
      </c>
      <c r="K72" s="119">
        <v>0</v>
      </c>
    </row>
    <row r="73" spans="1:11" ht="16" outlineLevel="1">
      <c r="A73" s="816"/>
      <c r="B73" s="817"/>
      <c r="C73" s="817"/>
      <c r="D73" s="67" t="s">
        <v>123</v>
      </c>
      <c r="E73" s="71">
        <f t="shared" si="3"/>
        <v>0</v>
      </c>
      <c r="F73" s="117">
        <v>0</v>
      </c>
      <c r="G73" s="118">
        <v>0</v>
      </c>
      <c r="H73" s="259">
        <v>0</v>
      </c>
      <c r="I73" s="259">
        <v>0</v>
      </c>
      <c r="J73" s="259">
        <v>0</v>
      </c>
      <c r="K73" s="119">
        <v>0</v>
      </c>
    </row>
    <row r="74" spans="1:11" ht="17" outlineLevel="1" thickBot="1">
      <c r="A74" s="816"/>
      <c r="B74" s="817"/>
      <c r="C74" s="817"/>
      <c r="D74" s="68" t="s">
        <v>124</v>
      </c>
      <c r="E74" s="72">
        <f t="shared" si="3"/>
        <v>0</v>
      </c>
      <c r="F74" s="120">
        <v>0</v>
      </c>
      <c r="G74" s="121">
        <v>0</v>
      </c>
      <c r="H74" s="260">
        <v>0</v>
      </c>
      <c r="I74" s="260">
        <v>0</v>
      </c>
      <c r="J74" s="260">
        <v>0</v>
      </c>
      <c r="K74" s="122">
        <v>0</v>
      </c>
    </row>
    <row r="75" spans="1:11" ht="16" outlineLevel="1">
      <c r="A75" s="816" t="s">
        <v>242</v>
      </c>
      <c r="B75" s="817" t="s">
        <v>230</v>
      </c>
      <c r="C75" s="817">
        <v>637001</v>
      </c>
      <c r="D75" s="66" t="s">
        <v>115</v>
      </c>
      <c r="E75" s="71">
        <f t="shared" si="3"/>
        <v>0</v>
      </c>
      <c r="F75" s="114">
        <v>0</v>
      </c>
      <c r="G75" s="115">
        <v>0</v>
      </c>
      <c r="H75" s="258">
        <v>0</v>
      </c>
      <c r="I75" s="258">
        <v>0</v>
      </c>
      <c r="J75" s="258">
        <v>0</v>
      </c>
      <c r="K75" s="116">
        <v>0</v>
      </c>
    </row>
    <row r="76" spans="1:11" ht="16" outlineLevel="1">
      <c r="A76" s="816"/>
      <c r="B76" s="817"/>
      <c r="C76" s="817"/>
      <c r="D76" s="67" t="s">
        <v>116</v>
      </c>
      <c r="E76" s="71">
        <f t="shared" si="3"/>
        <v>0</v>
      </c>
      <c r="F76" s="117">
        <v>0</v>
      </c>
      <c r="G76" s="118">
        <v>0</v>
      </c>
      <c r="H76" s="259">
        <v>0</v>
      </c>
      <c r="I76" s="259">
        <v>0</v>
      </c>
      <c r="J76" s="259">
        <v>0</v>
      </c>
      <c r="K76" s="119">
        <v>0</v>
      </c>
    </row>
    <row r="77" spans="1:11" ht="16" outlineLevel="1">
      <c r="A77" s="816"/>
      <c r="B77" s="817"/>
      <c r="C77" s="817"/>
      <c r="D77" s="67" t="s">
        <v>117</v>
      </c>
      <c r="E77" s="71">
        <f t="shared" si="3"/>
        <v>0</v>
      </c>
      <c r="F77" s="117">
        <v>0</v>
      </c>
      <c r="G77" s="118">
        <v>0</v>
      </c>
      <c r="H77" s="259">
        <v>0</v>
      </c>
      <c r="I77" s="259">
        <v>0</v>
      </c>
      <c r="J77" s="259">
        <v>0</v>
      </c>
      <c r="K77" s="119">
        <v>0</v>
      </c>
    </row>
    <row r="78" spans="1:11" ht="16" outlineLevel="1">
      <c r="A78" s="816"/>
      <c r="B78" s="817"/>
      <c r="C78" s="817"/>
      <c r="D78" s="67" t="s">
        <v>118</v>
      </c>
      <c r="E78" s="71">
        <f t="shared" si="3"/>
        <v>0</v>
      </c>
      <c r="F78" s="117">
        <v>0</v>
      </c>
      <c r="G78" s="118">
        <v>0</v>
      </c>
      <c r="H78" s="259">
        <v>0</v>
      </c>
      <c r="I78" s="259">
        <v>0</v>
      </c>
      <c r="J78" s="259">
        <v>0</v>
      </c>
      <c r="K78" s="119">
        <v>0</v>
      </c>
    </row>
    <row r="79" spans="1:11" ht="16" outlineLevel="1">
      <c r="A79" s="816"/>
      <c r="B79" s="817"/>
      <c r="C79" s="817"/>
      <c r="D79" s="67" t="s">
        <v>119</v>
      </c>
      <c r="E79" s="71">
        <f t="shared" si="3"/>
        <v>0</v>
      </c>
      <c r="F79" s="117">
        <v>0</v>
      </c>
      <c r="G79" s="118">
        <v>0</v>
      </c>
      <c r="H79" s="259">
        <v>0</v>
      </c>
      <c r="I79" s="259">
        <v>0</v>
      </c>
      <c r="J79" s="259">
        <v>0</v>
      </c>
      <c r="K79" s="119">
        <v>0</v>
      </c>
    </row>
    <row r="80" spans="1:11" ht="16" outlineLevel="1">
      <c r="A80" s="816"/>
      <c r="B80" s="817"/>
      <c r="C80" s="817"/>
      <c r="D80" s="67" t="s">
        <v>120</v>
      </c>
      <c r="E80" s="71">
        <f t="shared" si="3"/>
        <v>0</v>
      </c>
      <c r="F80" s="117">
        <v>0</v>
      </c>
      <c r="G80" s="118">
        <v>0</v>
      </c>
      <c r="H80" s="259">
        <v>0</v>
      </c>
      <c r="I80" s="259">
        <v>0</v>
      </c>
      <c r="J80" s="259">
        <v>0</v>
      </c>
      <c r="K80" s="119">
        <v>0</v>
      </c>
    </row>
    <row r="81" spans="1:11" ht="16" outlineLevel="1">
      <c r="A81" s="816"/>
      <c r="B81" s="817"/>
      <c r="C81" s="817"/>
      <c r="D81" s="67" t="s">
        <v>121</v>
      </c>
      <c r="E81" s="71">
        <f t="shared" si="3"/>
        <v>0</v>
      </c>
      <c r="F81" s="117">
        <v>0</v>
      </c>
      <c r="G81" s="118">
        <v>0</v>
      </c>
      <c r="H81" s="259">
        <v>0</v>
      </c>
      <c r="I81" s="259">
        <v>0</v>
      </c>
      <c r="J81" s="259">
        <v>0</v>
      </c>
      <c r="K81" s="119">
        <v>0</v>
      </c>
    </row>
    <row r="82" spans="1:11" ht="16" outlineLevel="1">
      <c r="A82" s="816"/>
      <c r="B82" s="817"/>
      <c r="C82" s="817"/>
      <c r="D82" s="67" t="s">
        <v>122</v>
      </c>
      <c r="E82" s="71">
        <f t="shared" si="3"/>
        <v>0</v>
      </c>
      <c r="F82" s="117">
        <v>0</v>
      </c>
      <c r="G82" s="118">
        <v>0</v>
      </c>
      <c r="H82" s="259">
        <v>0</v>
      </c>
      <c r="I82" s="259">
        <v>0</v>
      </c>
      <c r="J82" s="259">
        <v>0</v>
      </c>
      <c r="K82" s="119">
        <v>0</v>
      </c>
    </row>
    <row r="83" spans="1:11" ht="16" outlineLevel="1">
      <c r="A83" s="816"/>
      <c r="B83" s="817"/>
      <c r="C83" s="817"/>
      <c r="D83" s="67" t="s">
        <v>123</v>
      </c>
      <c r="E83" s="71">
        <f t="shared" si="3"/>
        <v>0</v>
      </c>
      <c r="F83" s="117">
        <v>0</v>
      </c>
      <c r="G83" s="118">
        <v>0</v>
      </c>
      <c r="H83" s="259">
        <v>0</v>
      </c>
      <c r="I83" s="259">
        <v>0</v>
      </c>
      <c r="J83" s="259">
        <v>0</v>
      </c>
      <c r="K83" s="119">
        <v>0</v>
      </c>
    </row>
    <row r="84" spans="1:11" ht="17" outlineLevel="1" thickBot="1">
      <c r="A84" s="816"/>
      <c r="B84" s="817"/>
      <c r="C84" s="817"/>
      <c r="D84" s="68" t="s">
        <v>124</v>
      </c>
      <c r="E84" s="72">
        <f t="shared" si="3"/>
        <v>0</v>
      </c>
      <c r="F84" s="120">
        <v>0</v>
      </c>
      <c r="G84" s="121">
        <v>0</v>
      </c>
      <c r="H84" s="260">
        <v>0</v>
      </c>
      <c r="I84" s="260">
        <v>0</v>
      </c>
      <c r="J84" s="260">
        <v>0</v>
      </c>
      <c r="K84" s="122">
        <v>0</v>
      </c>
    </row>
  </sheetData>
  <mergeCells count="27">
    <mergeCell ref="A1:D1"/>
    <mergeCell ref="A65:A74"/>
    <mergeCell ref="B65:B74"/>
    <mergeCell ref="C65:C74"/>
    <mergeCell ref="A75:A84"/>
    <mergeCell ref="B75:B84"/>
    <mergeCell ref="C75:C84"/>
    <mergeCell ref="A45:A54"/>
    <mergeCell ref="B45:B54"/>
    <mergeCell ref="C45:C54"/>
    <mergeCell ref="A55:A64"/>
    <mergeCell ref="B55:B64"/>
    <mergeCell ref="C55:C64"/>
    <mergeCell ref="A35:A44"/>
    <mergeCell ref="B35:B44"/>
    <mergeCell ref="C35:C44"/>
    <mergeCell ref="A3:C3"/>
    <mergeCell ref="A24:A33"/>
    <mergeCell ref="B24:B33"/>
    <mergeCell ref="C24:C33"/>
    <mergeCell ref="A34:C34"/>
    <mergeCell ref="A4:A13"/>
    <mergeCell ref="B4:B13"/>
    <mergeCell ref="C4:C13"/>
    <mergeCell ref="A14:A23"/>
    <mergeCell ref="B14:B23"/>
    <mergeCell ref="C14:C23"/>
  </mergeCells>
  <pageMargins left="0.7" right="0.7" top="0.75" bottom="0.75" header="0.3" footer="0.3"/>
  <pageSetup paperSize="9" scale="39" orientation="portrait" r:id="rId1"/>
  <ignoredErrors>
    <ignoredError sqref="E34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CC"/>
  </sheetPr>
  <dimension ref="A1:AV77"/>
  <sheetViews>
    <sheetView tabSelected="1" topLeftCell="W2" zoomScale="110" zoomScaleNormal="110" zoomScaleSheetLayoutView="90" workbookViewId="0">
      <selection activeCell="AH18" sqref="AH18"/>
    </sheetView>
  </sheetViews>
  <sheetFormatPr baseColWidth="10" defaultColWidth="8.6640625" defaultRowHeight="12"/>
  <cols>
    <col min="1" max="1" width="35.5" style="135" customWidth="1"/>
    <col min="2" max="2" width="24.5" style="135" customWidth="1"/>
    <col min="3" max="3" width="3.33203125" style="135" customWidth="1"/>
    <col min="4" max="26" width="3.6640625" style="135" customWidth="1"/>
    <col min="27" max="32" width="8" style="135" customWidth="1"/>
    <col min="33" max="33" width="10" style="135" customWidth="1"/>
    <col min="34" max="34" width="10.6640625" style="136" customWidth="1"/>
    <col min="35" max="36" width="10.6640625" style="135" customWidth="1"/>
    <col min="37" max="16384" width="8.6640625" style="135"/>
  </cols>
  <sheetData>
    <row r="1" spans="1:48" ht="13" thickBot="1"/>
    <row r="2" spans="1:48" ht="36.75" customHeight="1">
      <c r="A2" s="249" t="s">
        <v>265</v>
      </c>
      <c r="B2" s="250" t="s">
        <v>266</v>
      </c>
      <c r="C2" s="242" t="s">
        <v>267</v>
      </c>
      <c r="D2" s="243" t="s">
        <v>268</v>
      </c>
      <c r="E2" s="243" t="s">
        <v>269</v>
      </c>
      <c r="F2" s="243" t="s">
        <v>270</v>
      </c>
      <c r="G2" s="243" t="s">
        <v>271</v>
      </c>
      <c r="H2" s="243" t="s">
        <v>272</v>
      </c>
      <c r="I2" s="243" t="s">
        <v>273</v>
      </c>
      <c r="J2" s="243" t="s">
        <v>274</v>
      </c>
      <c r="K2" s="243" t="s">
        <v>275</v>
      </c>
      <c r="L2" s="243" t="s">
        <v>276</v>
      </c>
      <c r="M2" s="243" t="s">
        <v>277</v>
      </c>
      <c r="N2" s="244" t="s">
        <v>278</v>
      </c>
      <c r="O2" s="243" t="s">
        <v>279</v>
      </c>
      <c r="P2" s="243" t="s">
        <v>280</v>
      </c>
      <c r="Q2" s="243" t="s">
        <v>281</v>
      </c>
      <c r="R2" s="243" t="s">
        <v>282</v>
      </c>
      <c r="S2" s="243" t="s">
        <v>283</v>
      </c>
      <c r="T2" s="243" t="s">
        <v>284</v>
      </c>
      <c r="U2" s="243" t="s">
        <v>285</v>
      </c>
      <c r="V2" s="243" t="s">
        <v>286</v>
      </c>
      <c r="W2" s="243" t="s">
        <v>287</v>
      </c>
      <c r="X2" s="243" t="s">
        <v>288</v>
      </c>
      <c r="Y2" s="243" t="s">
        <v>289</v>
      </c>
      <c r="Z2" s="244" t="s">
        <v>290</v>
      </c>
      <c r="AA2" s="653" t="s">
        <v>291</v>
      </c>
      <c r="AB2" s="654" t="s">
        <v>292</v>
      </c>
      <c r="AC2" s="654" t="s">
        <v>293</v>
      </c>
      <c r="AD2" s="654" t="s">
        <v>294</v>
      </c>
      <c r="AE2" s="654" t="s">
        <v>295</v>
      </c>
      <c r="AF2" s="654" t="s">
        <v>296</v>
      </c>
      <c r="AG2" s="653" t="s">
        <v>297</v>
      </c>
      <c r="AH2" s="655" t="s">
        <v>298</v>
      </c>
      <c r="AI2" s="137"/>
      <c r="AJ2" s="137"/>
    </row>
    <row r="3" spans="1:48" ht="14.25" customHeight="1" thickBot="1">
      <c r="A3" s="138"/>
      <c r="B3" s="139"/>
      <c r="C3" s="245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7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7"/>
      <c r="AA3" s="236"/>
      <c r="AB3" s="237"/>
      <c r="AC3" s="237"/>
      <c r="AD3" s="237"/>
      <c r="AE3" s="237"/>
      <c r="AF3" s="237"/>
      <c r="AG3" s="236"/>
      <c r="AH3" s="240"/>
      <c r="AI3" s="141"/>
      <c r="AJ3" s="141"/>
    </row>
    <row r="4" spans="1:48" ht="11.75" customHeight="1">
      <c r="A4" s="618" t="s">
        <v>299</v>
      </c>
      <c r="B4" s="822" t="s">
        <v>300</v>
      </c>
      <c r="C4" s="613"/>
      <c r="D4" s="614"/>
      <c r="E4" s="614"/>
      <c r="F4" s="614"/>
      <c r="G4" s="614"/>
      <c r="H4" s="614"/>
      <c r="I4" s="614"/>
      <c r="J4" s="614"/>
      <c r="K4" s="614"/>
      <c r="L4" s="614"/>
      <c r="M4" s="614"/>
      <c r="N4" s="615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6"/>
      <c r="AB4" s="617"/>
      <c r="AC4" s="625"/>
      <c r="AD4" s="625"/>
      <c r="AE4" s="625"/>
      <c r="AF4" s="626"/>
      <c r="AG4" s="627"/>
      <c r="AH4" s="628"/>
      <c r="AI4" s="559"/>
    </row>
    <row r="5" spans="1:48" ht="12" customHeight="1">
      <c r="A5" s="571" t="s">
        <v>301</v>
      </c>
      <c r="B5" s="823"/>
      <c r="C5" s="560"/>
      <c r="D5" s="561"/>
      <c r="E5" s="561"/>
      <c r="F5" s="561"/>
      <c r="G5" s="561"/>
      <c r="H5" s="561"/>
      <c r="I5" s="561"/>
      <c r="J5" s="561"/>
      <c r="K5" s="561"/>
      <c r="L5" s="561"/>
      <c r="M5" s="561"/>
      <c r="N5" s="562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  <c r="Z5" s="561"/>
      <c r="AA5" s="550"/>
      <c r="AB5" s="551"/>
      <c r="AC5" s="238"/>
      <c r="AD5" s="238"/>
      <c r="AE5" s="238"/>
      <c r="AF5" s="458"/>
      <c r="AG5" s="565"/>
      <c r="AH5" s="566"/>
      <c r="AI5" s="559"/>
      <c r="AN5" s="135" t="s">
        <v>302</v>
      </c>
    </row>
    <row r="6" spans="1:48" ht="11" customHeight="1">
      <c r="A6" s="572" t="s">
        <v>303</v>
      </c>
      <c r="B6" s="823"/>
      <c r="C6" s="561">
        <v>1</v>
      </c>
      <c r="D6" s="561">
        <v>1</v>
      </c>
      <c r="E6" s="561">
        <v>1</v>
      </c>
      <c r="F6" s="561">
        <v>1</v>
      </c>
      <c r="G6" s="561">
        <v>1</v>
      </c>
      <c r="H6" s="561">
        <v>1</v>
      </c>
      <c r="I6" s="561">
        <v>1</v>
      </c>
      <c r="J6" s="561">
        <v>1</v>
      </c>
      <c r="K6" s="561">
        <v>1</v>
      </c>
      <c r="L6" s="561">
        <v>1</v>
      </c>
      <c r="M6" s="561">
        <v>1</v>
      </c>
      <c r="N6" s="562">
        <v>1</v>
      </c>
      <c r="O6" s="561">
        <v>1</v>
      </c>
      <c r="P6" s="561">
        <v>1</v>
      </c>
      <c r="Q6" s="561">
        <v>1</v>
      </c>
      <c r="R6" s="561"/>
      <c r="S6" s="561"/>
      <c r="T6" s="561"/>
      <c r="U6" s="561"/>
      <c r="V6" s="561"/>
      <c r="W6" s="561"/>
      <c r="X6" s="561"/>
      <c r="Y6" s="561"/>
      <c r="Z6" s="561"/>
      <c r="AA6" s="567">
        <f>COUNTA(C6:Z6)*21</f>
        <v>315</v>
      </c>
      <c r="AB6" s="568">
        <f>COUNTA(C6:Z6)*21</f>
        <v>315</v>
      </c>
      <c r="AC6" s="563"/>
      <c r="AD6" s="563">
        <v>2</v>
      </c>
      <c r="AE6" s="563"/>
      <c r="AF6" s="564">
        <v>700</v>
      </c>
      <c r="AG6" s="565">
        <f t="shared" ref="AG6" si="0">AA6*AC6*AE6</f>
        <v>0</v>
      </c>
      <c r="AH6" s="566">
        <f t="shared" ref="AH6" si="1">AB6*AD6*AF6</f>
        <v>441000</v>
      </c>
      <c r="AI6" s="559"/>
      <c r="AJ6" s="135">
        <f t="shared" ref="AJ6:AJ48" si="2">AB6*AD6</f>
        <v>630</v>
      </c>
      <c r="AK6" s="570"/>
      <c r="AN6" s="573">
        <v>0.1</v>
      </c>
    </row>
    <row r="7" spans="1:48" ht="11" customHeight="1">
      <c r="A7" s="572" t="s">
        <v>304</v>
      </c>
      <c r="B7" s="823"/>
      <c r="C7" s="560"/>
      <c r="D7" s="561"/>
      <c r="E7" s="561"/>
      <c r="F7" s="561"/>
      <c r="G7" s="561"/>
      <c r="H7" s="561"/>
      <c r="I7" s="561"/>
      <c r="J7" s="561"/>
      <c r="K7" s="561">
        <v>1</v>
      </c>
      <c r="L7" s="561">
        <v>1</v>
      </c>
      <c r="M7" s="561">
        <v>1</v>
      </c>
      <c r="N7" s="562">
        <v>1</v>
      </c>
      <c r="O7" s="561"/>
      <c r="P7" s="561"/>
      <c r="Q7" s="561"/>
      <c r="R7" s="561"/>
      <c r="S7" s="561"/>
      <c r="T7" s="561"/>
      <c r="U7" s="561"/>
      <c r="V7" s="561"/>
      <c r="W7" s="561">
        <v>1</v>
      </c>
      <c r="X7" s="561">
        <v>1</v>
      </c>
      <c r="Y7" s="561">
        <v>1</v>
      </c>
      <c r="Z7" s="561">
        <v>1</v>
      </c>
      <c r="AA7" s="567">
        <f t="shared" ref="AA7:AA8" si="3">COUNTA(C7:Z7)*21</f>
        <v>168</v>
      </c>
      <c r="AB7" s="568">
        <f t="shared" ref="AB7:AB8" si="4">COUNTA(C7:Z7)*21</f>
        <v>168</v>
      </c>
      <c r="AC7" s="563"/>
      <c r="AD7" s="563">
        <v>1</v>
      </c>
      <c r="AE7" s="563"/>
      <c r="AF7" s="564">
        <v>800</v>
      </c>
      <c r="AG7" s="565">
        <f t="shared" ref="AG7:AG8" si="5">AA7*AC7*AE7</f>
        <v>0</v>
      </c>
      <c r="AH7" s="566">
        <f t="shared" ref="AH7:AH8" si="6">AB7*AD7*AF7</f>
        <v>134400</v>
      </c>
      <c r="AI7" s="559"/>
      <c r="AJ7" s="135">
        <f t="shared" si="2"/>
        <v>168</v>
      </c>
      <c r="AK7" s="570"/>
      <c r="AN7" s="573"/>
    </row>
    <row r="8" spans="1:48" ht="11" customHeight="1">
      <c r="A8" s="572" t="s">
        <v>305</v>
      </c>
      <c r="B8" s="823"/>
      <c r="C8" s="561">
        <v>1</v>
      </c>
      <c r="D8" s="561">
        <v>1</v>
      </c>
      <c r="E8" s="561">
        <v>1</v>
      </c>
      <c r="F8" s="561">
        <v>1</v>
      </c>
      <c r="G8" s="561">
        <v>1</v>
      </c>
      <c r="H8" s="561">
        <v>1</v>
      </c>
      <c r="I8" s="561">
        <v>1</v>
      </c>
      <c r="J8" s="561">
        <v>1</v>
      </c>
      <c r="K8" s="561">
        <v>1</v>
      </c>
      <c r="L8" s="561">
        <v>1</v>
      </c>
      <c r="M8" s="561">
        <v>1</v>
      </c>
      <c r="N8" s="562">
        <v>1</v>
      </c>
      <c r="O8" s="561">
        <v>1</v>
      </c>
      <c r="P8" s="561">
        <v>1</v>
      </c>
      <c r="Q8" s="561">
        <v>1</v>
      </c>
      <c r="R8" s="561">
        <v>1</v>
      </c>
      <c r="S8" s="561">
        <v>1</v>
      </c>
      <c r="T8" s="561">
        <v>1</v>
      </c>
      <c r="U8" s="561">
        <v>1</v>
      </c>
      <c r="V8" s="561">
        <v>1</v>
      </c>
      <c r="W8" s="561">
        <v>1</v>
      </c>
      <c r="X8" s="561">
        <v>1</v>
      </c>
      <c r="Y8" s="561">
        <v>1</v>
      </c>
      <c r="Z8" s="561">
        <v>1</v>
      </c>
      <c r="AA8" s="567">
        <f t="shared" si="3"/>
        <v>504</v>
      </c>
      <c r="AB8" s="568">
        <f t="shared" si="4"/>
        <v>504</v>
      </c>
      <c r="AC8" s="563"/>
      <c r="AD8" s="563">
        <v>2</v>
      </c>
      <c r="AE8" s="563"/>
      <c r="AF8" s="564">
        <v>700</v>
      </c>
      <c r="AG8" s="565">
        <f t="shared" si="5"/>
        <v>0</v>
      </c>
      <c r="AH8" s="566">
        <f t="shared" si="6"/>
        <v>705600</v>
      </c>
      <c r="AI8" s="559"/>
      <c r="AJ8" s="135">
        <f t="shared" si="2"/>
        <v>1008</v>
      </c>
      <c r="AK8" s="570"/>
      <c r="AN8" s="573"/>
    </row>
    <row r="9" spans="1:48" ht="11.75" customHeight="1">
      <c r="A9" s="571" t="s">
        <v>306</v>
      </c>
      <c r="B9" s="823"/>
      <c r="C9" s="560"/>
      <c r="D9" s="561"/>
      <c r="E9" s="561"/>
      <c r="F9" s="561"/>
      <c r="G9" s="561"/>
      <c r="H9" s="561"/>
      <c r="I9" s="561"/>
      <c r="J9" s="561"/>
      <c r="K9" s="561"/>
      <c r="L9" s="561"/>
      <c r="M9" s="561"/>
      <c r="N9" s="562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50"/>
      <c r="AB9" s="551"/>
      <c r="AC9" s="238"/>
      <c r="AD9" s="238"/>
      <c r="AE9" s="238"/>
      <c r="AF9" s="458"/>
      <c r="AG9" s="565"/>
      <c r="AH9" s="566"/>
      <c r="AI9" s="559"/>
      <c r="AN9" s="135" t="s">
        <v>302</v>
      </c>
    </row>
    <row r="10" spans="1:48" ht="11" customHeight="1">
      <c r="A10" s="572" t="s">
        <v>307</v>
      </c>
      <c r="B10" s="823"/>
      <c r="C10" s="560"/>
      <c r="D10" s="561"/>
      <c r="E10" s="561"/>
      <c r="F10" s="561"/>
      <c r="G10" s="561"/>
      <c r="H10" s="561"/>
      <c r="I10" s="561"/>
      <c r="J10" s="561"/>
      <c r="K10" s="561"/>
      <c r="L10" s="561"/>
      <c r="M10" s="561"/>
      <c r="N10" s="562"/>
      <c r="O10" s="561">
        <v>1</v>
      </c>
      <c r="P10" s="561">
        <v>1</v>
      </c>
      <c r="Q10" s="561">
        <v>1</v>
      </c>
      <c r="R10" s="561"/>
      <c r="S10" s="561"/>
      <c r="T10" s="561"/>
      <c r="U10" s="561"/>
      <c r="V10" s="561"/>
      <c r="W10" s="561"/>
      <c r="X10" s="561"/>
      <c r="Y10" s="561"/>
      <c r="Z10" s="561"/>
      <c r="AA10" s="567">
        <f>COUNTA(C10:Z10)*21</f>
        <v>63</v>
      </c>
      <c r="AB10" s="568">
        <f>COUNTA(C10:Z10)*21</f>
        <v>63</v>
      </c>
      <c r="AC10" s="563"/>
      <c r="AD10" s="563">
        <v>2</v>
      </c>
      <c r="AE10" s="563"/>
      <c r="AF10" s="564">
        <v>670</v>
      </c>
      <c r="AG10" s="565">
        <f t="shared" ref="AG10" si="7">AA10*AC10*AE10</f>
        <v>0</v>
      </c>
      <c r="AH10" s="566">
        <f t="shared" ref="AH10" si="8">AB10*AD10*AF10</f>
        <v>84420</v>
      </c>
      <c r="AI10" s="559"/>
      <c r="AJ10" s="135">
        <f t="shared" si="2"/>
        <v>126</v>
      </c>
      <c r="AK10" s="570">
        <f>SUMIF(A:A,AL10,AJ:AJ)/SUM(AJ10:AJ65)</f>
        <v>0.23992322456813822</v>
      </c>
      <c r="AL10" s="135" t="s">
        <v>307</v>
      </c>
      <c r="AN10" s="573">
        <v>0.5</v>
      </c>
    </row>
    <row r="11" spans="1:48" ht="14.5" customHeight="1">
      <c r="A11" s="571" t="s">
        <v>308</v>
      </c>
      <c r="B11" s="823"/>
      <c r="C11" s="560"/>
      <c r="D11" s="561"/>
      <c r="E11" s="561"/>
      <c r="F11" s="561"/>
      <c r="G11" s="561"/>
      <c r="H11" s="561"/>
      <c r="I11" s="561"/>
      <c r="J11" s="561"/>
      <c r="K11" s="561"/>
      <c r="L11" s="561"/>
      <c r="M11" s="561"/>
      <c r="N11" s="562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50"/>
      <c r="AB11" s="551"/>
      <c r="AC11" s="238"/>
      <c r="AD11" s="238"/>
      <c r="AE11" s="238"/>
      <c r="AF11" s="458"/>
      <c r="AG11" s="565"/>
      <c r="AH11" s="566"/>
      <c r="AI11" s="559"/>
      <c r="AK11" s="570">
        <f>SUMIF(A:A,AL11,AJ:AJ)/SUM(AJ10:AJ65)</f>
        <v>2.559181062060141E-2</v>
      </c>
      <c r="AL11" s="135" t="s">
        <v>304</v>
      </c>
      <c r="AN11" s="573">
        <v>0.1</v>
      </c>
    </row>
    <row r="12" spans="1:48" ht="11.75" customHeight="1">
      <c r="A12" s="572" t="s">
        <v>307</v>
      </c>
      <c r="B12" s="823"/>
      <c r="C12" s="560"/>
      <c r="D12" s="561"/>
      <c r="E12" s="561"/>
      <c r="F12" s="561"/>
      <c r="G12" s="561"/>
      <c r="H12" s="561">
        <v>1</v>
      </c>
      <c r="I12" s="561">
        <v>1</v>
      </c>
      <c r="J12" s="561">
        <v>1</v>
      </c>
      <c r="K12" s="561">
        <v>1</v>
      </c>
      <c r="L12" s="561">
        <v>1</v>
      </c>
      <c r="M12" s="561">
        <v>1</v>
      </c>
      <c r="N12" s="562">
        <v>1</v>
      </c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7">
        <f>COUNTA(C12:Z12)*21</f>
        <v>147</v>
      </c>
      <c r="AB12" s="568">
        <f>COUNTA(C12:Z12)*21</f>
        <v>147</v>
      </c>
      <c r="AC12" s="563"/>
      <c r="AD12" s="563">
        <v>2</v>
      </c>
      <c r="AE12" s="563"/>
      <c r="AF12" s="564">
        <v>670</v>
      </c>
      <c r="AG12" s="565">
        <f t="shared" ref="AG12" si="9">AA12*AC12*AE12</f>
        <v>0</v>
      </c>
      <c r="AH12" s="566">
        <f t="shared" ref="AH12" si="10">AB12*AD12*AF12</f>
        <v>196980</v>
      </c>
      <c r="AI12" s="559"/>
      <c r="AJ12" s="135">
        <f t="shared" si="2"/>
        <v>294</v>
      </c>
      <c r="AK12" s="570">
        <f>SUMIF(A:A,AL12,AJ:AJ)/SUM(AJ10:AJ65)</f>
        <v>6.71785028790787E-2</v>
      </c>
      <c r="AL12" s="135" t="s">
        <v>309</v>
      </c>
      <c r="AN12" s="573">
        <v>0.05</v>
      </c>
    </row>
    <row r="13" spans="1:48" ht="14.5" customHeight="1">
      <c r="A13" s="571" t="s">
        <v>310</v>
      </c>
      <c r="B13" s="823"/>
      <c r="C13" s="560"/>
      <c r="D13" s="561"/>
      <c r="E13" s="561"/>
      <c r="F13" s="561"/>
      <c r="G13" s="561"/>
      <c r="H13" s="561"/>
      <c r="I13" s="561"/>
      <c r="J13" s="561"/>
      <c r="K13" s="561"/>
      <c r="L13" s="561"/>
      <c r="M13" s="561"/>
      <c r="N13" s="562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50"/>
      <c r="AB13" s="551"/>
      <c r="AC13" s="238"/>
      <c r="AD13" s="238"/>
      <c r="AE13" s="238"/>
      <c r="AF13" s="458"/>
      <c r="AG13" s="565"/>
      <c r="AH13" s="566"/>
      <c r="AI13" s="559"/>
      <c r="AN13" s="570"/>
    </row>
    <row r="14" spans="1:48" ht="11.75" customHeight="1">
      <c r="A14" s="572" t="s">
        <v>307</v>
      </c>
      <c r="B14" s="823"/>
      <c r="C14" s="560">
        <v>1</v>
      </c>
      <c r="D14" s="561">
        <v>1</v>
      </c>
      <c r="E14" s="561">
        <v>1</v>
      </c>
      <c r="F14" s="561">
        <v>1</v>
      </c>
      <c r="G14" s="561">
        <v>1</v>
      </c>
      <c r="H14" s="561">
        <v>1</v>
      </c>
      <c r="I14" s="561">
        <v>1</v>
      </c>
      <c r="J14" s="561">
        <v>1</v>
      </c>
      <c r="K14" s="561"/>
      <c r="L14" s="561"/>
      <c r="M14" s="561"/>
      <c r="N14" s="562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7">
        <f>COUNTA(C14:Z14)*21</f>
        <v>168</v>
      </c>
      <c r="AB14" s="568">
        <f>COUNTA(C14:Z14)*21</f>
        <v>168</v>
      </c>
      <c r="AC14" s="563"/>
      <c r="AD14" s="563">
        <v>3</v>
      </c>
      <c r="AE14" s="563"/>
      <c r="AF14" s="564">
        <v>670</v>
      </c>
      <c r="AG14" s="565">
        <f t="shared" ref="AG14" si="11">AA14*AC14*AE14</f>
        <v>0</v>
      </c>
      <c r="AH14" s="566">
        <f t="shared" ref="AH14" si="12">AB14*AD14*AF14</f>
        <v>337680</v>
      </c>
      <c r="AI14" s="559"/>
      <c r="AJ14" s="135">
        <f t="shared" si="2"/>
        <v>504</v>
      </c>
      <c r="AL14" s="611">
        <f>SUM(AH10:AH10,AH21:AH21,AH30:AH33,AH51:AH53)</f>
        <v>606522</v>
      </c>
      <c r="AM14" s="611">
        <f>AL14/1.2</f>
        <v>505435</v>
      </c>
      <c r="AN14" s="570"/>
    </row>
    <row r="15" spans="1:48" ht="14.5" customHeight="1">
      <c r="A15" s="571" t="s">
        <v>311</v>
      </c>
      <c r="B15" s="823"/>
      <c r="C15" s="560"/>
      <c r="D15" s="561"/>
      <c r="E15" s="561"/>
      <c r="F15" s="561"/>
      <c r="G15" s="561"/>
      <c r="H15" s="561"/>
      <c r="I15" s="561"/>
      <c r="J15" s="561"/>
      <c r="K15" s="561"/>
      <c r="L15" s="561"/>
      <c r="M15" s="561"/>
      <c r="N15" s="562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50"/>
      <c r="AB15" s="551"/>
      <c r="AC15" s="238"/>
      <c r="AD15" s="238"/>
      <c r="AE15" s="238"/>
      <c r="AF15" s="458"/>
      <c r="AG15" s="565"/>
      <c r="AH15" s="566"/>
      <c r="AI15" s="559"/>
      <c r="AL15" s="611">
        <f>SUM(AH16:AH16,AH27:AH27,AH45:AH48,AH63:AH65)</f>
        <v>758604</v>
      </c>
      <c r="AM15" s="611">
        <f>AL15/1.2</f>
        <v>632170</v>
      </c>
      <c r="AV15" s="573"/>
    </row>
    <row r="16" spans="1:48" ht="15" customHeight="1">
      <c r="A16" s="572" t="s">
        <v>307</v>
      </c>
      <c r="B16" s="823"/>
      <c r="C16" s="560"/>
      <c r="D16" s="561"/>
      <c r="E16" s="561"/>
      <c r="F16" s="561"/>
      <c r="G16" s="561"/>
      <c r="H16" s="561"/>
      <c r="I16" s="561"/>
      <c r="J16" s="561"/>
      <c r="K16" s="561">
        <v>1</v>
      </c>
      <c r="L16" s="561">
        <v>1</v>
      </c>
      <c r="M16" s="561">
        <v>1</v>
      </c>
      <c r="N16" s="562">
        <v>1</v>
      </c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  <c r="Z16" s="561"/>
      <c r="AA16" s="567">
        <f>COUNTA(C16:Z16)*21</f>
        <v>84</v>
      </c>
      <c r="AB16" s="568">
        <f>COUNTA(C16:Z16)*21</f>
        <v>84</v>
      </c>
      <c r="AC16" s="563"/>
      <c r="AD16" s="563">
        <v>3</v>
      </c>
      <c r="AE16" s="563"/>
      <c r="AF16" s="564">
        <v>670</v>
      </c>
      <c r="AG16" s="565">
        <f t="shared" ref="AG16" si="13">AA16*AC16*AE16</f>
        <v>0</v>
      </c>
      <c r="AH16" s="566">
        <f t="shared" ref="AH16" si="14">AB16*AD16*AF16</f>
        <v>168840</v>
      </c>
      <c r="AI16" s="559"/>
      <c r="AJ16" s="135">
        <f t="shared" si="2"/>
        <v>252</v>
      </c>
    </row>
    <row r="17" spans="1:37">
      <c r="A17" s="619" t="s">
        <v>312</v>
      </c>
      <c r="B17" s="642"/>
      <c r="C17" s="620"/>
      <c r="D17" s="621"/>
      <c r="E17" s="621"/>
      <c r="F17" s="621"/>
      <c r="G17" s="621"/>
      <c r="H17" s="621"/>
      <c r="I17" s="621"/>
      <c r="J17" s="621"/>
      <c r="K17" s="621"/>
      <c r="L17" s="621"/>
      <c r="M17" s="621"/>
      <c r="N17" s="622"/>
      <c r="O17" s="621"/>
      <c r="P17" s="621"/>
      <c r="Q17" s="621"/>
      <c r="R17" s="621"/>
      <c r="S17" s="621"/>
      <c r="T17" s="621"/>
      <c r="U17" s="621"/>
      <c r="V17" s="621"/>
      <c r="W17" s="621"/>
      <c r="X17" s="621"/>
      <c r="Y17" s="621"/>
      <c r="Z17" s="621"/>
      <c r="AA17" s="623"/>
      <c r="AB17" s="624"/>
      <c r="AC17" s="629"/>
      <c r="AD17" s="629"/>
      <c r="AE17" s="629"/>
      <c r="AF17" s="630"/>
      <c r="AG17" s="631"/>
      <c r="AH17" s="632"/>
      <c r="AI17" s="559"/>
    </row>
    <row r="18" spans="1:37" ht="11.75" customHeight="1" thickBot="1">
      <c r="A18" s="643" t="s">
        <v>313</v>
      </c>
      <c r="B18" s="643" t="s">
        <v>314</v>
      </c>
      <c r="C18" s="560"/>
      <c r="D18" s="561"/>
      <c r="E18" s="561"/>
      <c r="F18" s="561"/>
      <c r="G18" s="561"/>
      <c r="H18" s="561"/>
      <c r="I18" s="561"/>
      <c r="J18" s="561">
        <v>1</v>
      </c>
      <c r="K18" s="561">
        <v>1</v>
      </c>
      <c r="L18" s="561">
        <v>1</v>
      </c>
      <c r="M18" s="561"/>
      <c r="N18" s="562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561"/>
      <c r="Z18" s="561"/>
      <c r="AA18" s="567"/>
      <c r="AB18" s="568"/>
      <c r="AC18" s="563"/>
      <c r="AD18" s="563"/>
      <c r="AE18" s="563"/>
      <c r="AF18" s="564"/>
      <c r="AG18" s="565"/>
      <c r="AH18" s="566">
        <f>'Rozpočet - HW a licencie'!E4+'Rozpočet - HW a licencie'!E5+'Rozpočet - HW a licencie'!E6+'Rozpočet - HW a licencie'!E7</f>
        <v>1156303.75</v>
      </c>
      <c r="AI18" s="559"/>
      <c r="AK18" s="570"/>
    </row>
    <row r="19" spans="1:37" ht="11.75" customHeight="1">
      <c r="A19" s="618" t="s">
        <v>315</v>
      </c>
      <c r="B19" s="641"/>
      <c r="C19" s="613"/>
      <c r="D19" s="614"/>
      <c r="E19" s="614"/>
      <c r="F19" s="614"/>
      <c r="G19" s="614"/>
      <c r="H19" s="614"/>
      <c r="I19" s="614"/>
      <c r="J19" s="614"/>
      <c r="K19" s="614"/>
      <c r="L19" s="614"/>
      <c r="M19" s="614"/>
      <c r="N19" s="615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6"/>
      <c r="AB19" s="617"/>
      <c r="AC19" s="625"/>
      <c r="AD19" s="625"/>
      <c r="AE19" s="625"/>
      <c r="AF19" s="626"/>
      <c r="AG19" s="627"/>
      <c r="AH19" s="628"/>
      <c r="AI19" s="559"/>
    </row>
    <row r="20" spans="1:37" ht="11.75" customHeight="1">
      <c r="A20" s="571" t="s">
        <v>306</v>
      </c>
      <c r="B20" s="823" t="s">
        <v>316</v>
      </c>
      <c r="C20" s="560"/>
      <c r="D20" s="561"/>
      <c r="E20" s="561"/>
      <c r="F20" s="561"/>
      <c r="G20" s="561"/>
      <c r="H20" s="561"/>
      <c r="I20" s="561"/>
      <c r="J20" s="561"/>
      <c r="K20" s="561"/>
      <c r="L20" s="561"/>
      <c r="M20" s="561"/>
      <c r="N20" s="562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561"/>
      <c r="Z20" s="561"/>
      <c r="AA20" s="550"/>
      <c r="AB20" s="551"/>
      <c r="AC20" s="238"/>
      <c r="AD20" s="238"/>
      <c r="AE20" s="238"/>
      <c r="AF20" s="458"/>
      <c r="AG20" s="565"/>
      <c r="AH20" s="566"/>
      <c r="AI20" s="559"/>
    </row>
    <row r="21" spans="1:37" ht="26" customHeight="1">
      <c r="A21" s="572" t="s">
        <v>317</v>
      </c>
      <c r="B21" s="823"/>
      <c r="C21" s="560"/>
      <c r="D21" s="561"/>
      <c r="E21" s="561"/>
      <c r="F21" s="561"/>
      <c r="G21" s="561"/>
      <c r="H21" s="561"/>
      <c r="I21" s="561"/>
      <c r="J21" s="561"/>
      <c r="K21" s="561"/>
      <c r="L21" s="561"/>
      <c r="M21" s="561"/>
      <c r="N21" s="562"/>
      <c r="O21" s="561"/>
      <c r="P21" s="561"/>
      <c r="Q21" s="561"/>
      <c r="R21" s="561">
        <v>1</v>
      </c>
      <c r="S21" s="561">
        <v>1</v>
      </c>
      <c r="T21" s="561">
        <v>1</v>
      </c>
      <c r="U21" s="561">
        <v>1</v>
      </c>
      <c r="V21" s="561">
        <v>1</v>
      </c>
      <c r="W21" s="561"/>
      <c r="X21" s="561"/>
      <c r="Y21" s="561"/>
      <c r="Z21" s="561"/>
      <c r="AA21" s="567">
        <f>COUNTA(C21:Z21)*21</f>
        <v>105</v>
      </c>
      <c r="AB21" s="568">
        <f>COUNTA(C21:Z21)*21</f>
        <v>105</v>
      </c>
      <c r="AC21" s="563"/>
      <c r="AD21" s="563">
        <v>5</v>
      </c>
      <c r="AE21" s="563"/>
      <c r="AF21" s="564">
        <v>600</v>
      </c>
      <c r="AG21" s="565">
        <f t="shared" ref="AG21:AG25" si="15">AA21*AC21*AE21</f>
        <v>0</v>
      </c>
      <c r="AH21" s="566">
        <f t="shared" ref="AH21:AH25" si="16">AB21*AD21*AF21</f>
        <v>315000</v>
      </c>
      <c r="AI21" s="559"/>
      <c r="AJ21" s="135">
        <f t="shared" ref="AJ21:AJ25" si="17">AB21*AD21</f>
        <v>525</v>
      </c>
      <c r="AK21" s="570"/>
    </row>
    <row r="22" spans="1:37" ht="14.5" customHeight="1">
      <c r="A22" s="571" t="s">
        <v>308</v>
      </c>
      <c r="B22" s="823"/>
      <c r="C22" s="560"/>
      <c r="D22" s="561"/>
      <c r="E22" s="561"/>
      <c r="F22" s="561"/>
      <c r="G22" s="561"/>
      <c r="H22" s="561"/>
      <c r="I22" s="561"/>
      <c r="J22" s="561"/>
      <c r="K22" s="561"/>
      <c r="L22" s="561"/>
      <c r="M22" s="561"/>
      <c r="N22" s="562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561"/>
      <c r="Z22" s="561"/>
      <c r="AA22" s="550"/>
      <c r="AB22" s="551"/>
      <c r="AC22" s="238"/>
      <c r="AD22" s="238"/>
      <c r="AE22" s="238"/>
      <c r="AF22" s="458"/>
      <c r="AG22" s="565"/>
      <c r="AH22" s="566"/>
      <c r="AI22" s="559"/>
      <c r="AK22" s="570"/>
    </row>
    <row r="23" spans="1:37" ht="23" customHeight="1">
      <c r="A23" s="572" t="s">
        <v>317</v>
      </c>
      <c r="B23" s="823"/>
      <c r="C23" s="560"/>
      <c r="D23" s="561"/>
      <c r="E23" s="561"/>
      <c r="F23" s="561"/>
      <c r="G23" s="561"/>
      <c r="H23" s="561"/>
      <c r="I23" s="561"/>
      <c r="J23" s="561"/>
      <c r="K23" s="561"/>
      <c r="L23" s="561"/>
      <c r="M23" s="561"/>
      <c r="N23" s="562"/>
      <c r="O23" s="561">
        <v>1</v>
      </c>
      <c r="P23" s="561">
        <v>1</v>
      </c>
      <c r="Q23" s="561">
        <v>1</v>
      </c>
      <c r="R23" s="561">
        <v>1</v>
      </c>
      <c r="S23" s="561">
        <v>1</v>
      </c>
      <c r="T23" s="561"/>
      <c r="U23" s="561"/>
      <c r="V23" s="561"/>
      <c r="W23" s="561"/>
      <c r="X23" s="561"/>
      <c r="Y23" s="561"/>
      <c r="Z23" s="561"/>
      <c r="AA23" s="567">
        <f>COUNTA(C23:Z23)*21</f>
        <v>105</v>
      </c>
      <c r="AB23" s="568">
        <f>COUNTA(C23:Z23)*21</f>
        <v>105</v>
      </c>
      <c r="AC23" s="563"/>
      <c r="AD23" s="563">
        <v>5</v>
      </c>
      <c r="AE23" s="563"/>
      <c r="AF23" s="564">
        <v>600</v>
      </c>
      <c r="AG23" s="565">
        <f t="shared" si="15"/>
        <v>0</v>
      </c>
      <c r="AH23" s="566">
        <f t="shared" si="16"/>
        <v>315000</v>
      </c>
      <c r="AI23" s="559"/>
      <c r="AJ23" s="135">
        <f t="shared" si="17"/>
        <v>525</v>
      </c>
    </row>
    <row r="24" spans="1:37" ht="14.5" customHeight="1">
      <c r="A24" s="571" t="s">
        <v>310</v>
      </c>
      <c r="B24" s="823"/>
      <c r="C24" s="560"/>
      <c r="D24" s="561"/>
      <c r="E24" s="561"/>
      <c r="F24" s="561"/>
      <c r="G24" s="561"/>
      <c r="H24" s="561"/>
      <c r="I24" s="561"/>
      <c r="J24" s="561"/>
      <c r="K24" s="561"/>
      <c r="L24" s="561"/>
      <c r="M24" s="561"/>
      <c r="N24" s="562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561"/>
      <c r="Z24" s="561"/>
      <c r="AA24" s="550"/>
      <c r="AB24" s="551"/>
      <c r="AC24" s="238"/>
      <c r="AD24" s="238"/>
      <c r="AE24" s="238"/>
      <c r="AF24" s="458"/>
      <c r="AG24" s="565"/>
      <c r="AH24" s="566"/>
      <c r="AI24" s="559"/>
    </row>
    <row r="25" spans="1:37" ht="26" customHeight="1">
      <c r="A25" s="572" t="s">
        <v>317</v>
      </c>
      <c r="B25" s="823"/>
      <c r="C25" s="560"/>
      <c r="D25" s="561"/>
      <c r="E25" s="561"/>
      <c r="F25" s="561"/>
      <c r="G25" s="561"/>
      <c r="H25" s="561"/>
      <c r="I25" s="561"/>
      <c r="J25" s="561"/>
      <c r="K25" s="561">
        <v>1</v>
      </c>
      <c r="L25" s="561">
        <v>1</v>
      </c>
      <c r="M25" s="561">
        <v>1</v>
      </c>
      <c r="N25" s="562">
        <v>1</v>
      </c>
      <c r="O25" s="561">
        <v>1</v>
      </c>
      <c r="P25" s="561">
        <v>1</v>
      </c>
      <c r="Q25" s="561">
        <v>1</v>
      </c>
      <c r="R25" s="561">
        <v>1</v>
      </c>
      <c r="S25" s="561"/>
      <c r="T25" s="561"/>
      <c r="U25" s="561"/>
      <c r="V25" s="561"/>
      <c r="W25" s="561"/>
      <c r="X25" s="561"/>
      <c r="Y25" s="561"/>
      <c r="Z25" s="561"/>
      <c r="AA25" s="567">
        <f>COUNTA(C25:Z25)*21</f>
        <v>168</v>
      </c>
      <c r="AB25" s="568">
        <f>COUNTA(C25:Z25)*21</f>
        <v>168</v>
      </c>
      <c r="AC25" s="563"/>
      <c r="AD25" s="563">
        <v>5</v>
      </c>
      <c r="AE25" s="563"/>
      <c r="AF25" s="564">
        <v>600</v>
      </c>
      <c r="AG25" s="565">
        <f t="shared" si="15"/>
        <v>0</v>
      </c>
      <c r="AH25" s="566">
        <f t="shared" si="16"/>
        <v>504000</v>
      </c>
      <c r="AI25" s="559"/>
      <c r="AJ25" s="135">
        <f t="shared" si="17"/>
        <v>840</v>
      </c>
    </row>
    <row r="26" spans="1:37" ht="14.5" customHeight="1">
      <c r="A26" s="571" t="s">
        <v>311</v>
      </c>
      <c r="B26" s="823"/>
      <c r="C26" s="560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2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  <c r="AA26" s="550"/>
      <c r="AB26" s="551"/>
      <c r="AC26" s="238"/>
      <c r="AD26" s="238"/>
      <c r="AE26" s="238"/>
      <c r="AF26" s="458"/>
      <c r="AG26" s="565"/>
      <c r="AH26" s="566"/>
      <c r="AI26" s="559"/>
    </row>
    <row r="27" spans="1:37" ht="26" customHeight="1" thickBot="1">
      <c r="A27" s="572" t="s">
        <v>317</v>
      </c>
      <c r="B27" s="823"/>
      <c r="C27" s="560"/>
      <c r="D27" s="561"/>
      <c r="E27" s="561"/>
      <c r="F27" s="561"/>
      <c r="G27" s="561"/>
      <c r="H27" s="561"/>
      <c r="I27" s="561"/>
      <c r="J27" s="561"/>
      <c r="K27" s="561"/>
      <c r="L27" s="561"/>
      <c r="M27" s="561"/>
      <c r="N27" s="562"/>
      <c r="O27" s="561">
        <v>1</v>
      </c>
      <c r="P27" s="561">
        <v>1</v>
      </c>
      <c r="Q27" s="561">
        <v>1</v>
      </c>
      <c r="R27" s="561">
        <v>1</v>
      </c>
      <c r="S27" s="561">
        <v>1</v>
      </c>
      <c r="T27" s="561">
        <v>1</v>
      </c>
      <c r="U27" s="561"/>
      <c r="V27" s="561"/>
      <c r="W27" s="561"/>
      <c r="X27" s="561"/>
      <c r="Y27" s="561"/>
      <c r="Z27" s="561"/>
      <c r="AA27" s="567">
        <f>COUNTA(C27:Z27)*21</f>
        <v>126</v>
      </c>
      <c r="AB27" s="568">
        <f>COUNTA(C27:Z27)*21</f>
        <v>126</v>
      </c>
      <c r="AC27" s="563"/>
      <c r="AD27" s="563">
        <v>4</v>
      </c>
      <c r="AE27" s="563"/>
      <c r="AF27" s="564">
        <v>600</v>
      </c>
      <c r="AG27" s="565">
        <f t="shared" ref="AG27" si="18">AA27*AC27*AE27</f>
        <v>0</v>
      </c>
      <c r="AH27" s="566">
        <f t="shared" ref="AH27" si="19">AB27*AD27*AF27</f>
        <v>302400</v>
      </c>
      <c r="AI27" s="559"/>
      <c r="AJ27" s="135">
        <f t="shared" ref="AJ27" si="20">AB27*AD27</f>
        <v>504</v>
      </c>
    </row>
    <row r="28" spans="1:37" ht="11.75" customHeight="1">
      <c r="A28" s="618" t="s">
        <v>318</v>
      </c>
      <c r="B28" s="641"/>
      <c r="C28" s="613"/>
      <c r="D28" s="614"/>
      <c r="E28" s="614"/>
      <c r="F28" s="614"/>
      <c r="G28" s="614"/>
      <c r="H28" s="614"/>
      <c r="I28" s="614"/>
      <c r="J28" s="614"/>
      <c r="K28" s="614"/>
      <c r="L28" s="614"/>
      <c r="M28" s="614"/>
      <c r="N28" s="615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33"/>
      <c r="AB28" s="634"/>
      <c r="AC28" s="635"/>
      <c r="AD28" s="635"/>
      <c r="AE28" s="635"/>
      <c r="AF28" s="636"/>
      <c r="AG28" s="631"/>
      <c r="AH28" s="632"/>
      <c r="AI28" s="559"/>
    </row>
    <row r="29" spans="1:37" ht="14.5" customHeight="1">
      <c r="A29" s="571" t="s">
        <v>306</v>
      </c>
      <c r="B29" s="823" t="s">
        <v>319</v>
      </c>
      <c r="C29" s="560"/>
      <c r="D29" s="561"/>
      <c r="E29" s="561"/>
      <c r="F29" s="561"/>
      <c r="G29" s="561"/>
      <c r="H29" s="561"/>
      <c r="I29" s="561"/>
      <c r="J29" s="561"/>
      <c r="K29" s="561"/>
      <c r="L29" s="561"/>
      <c r="M29" s="561"/>
      <c r="N29" s="562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561"/>
      <c r="Z29" s="561"/>
      <c r="AA29" s="550"/>
      <c r="AB29" s="551"/>
      <c r="AC29" s="238"/>
      <c r="AD29" s="238"/>
      <c r="AE29" s="238"/>
      <c r="AF29" s="458"/>
      <c r="AG29" s="565"/>
      <c r="AH29" s="566"/>
      <c r="AI29" s="559"/>
    </row>
    <row r="30" spans="1:37" ht="14.5" customHeight="1">
      <c r="A30" s="572" t="s">
        <v>307</v>
      </c>
      <c r="B30" s="823"/>
      <c r="C30" s="560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2"/>
      <c r="O30" s="561"/>
      <c r="P30" s="561"/>
      <c r="Q30" s="561"/>
      <c r="R30" s="561"/>
      <c r="S30" s="561"/>
      <c r="T30" s="561"/>
      <c r="U30" s="561"/>
      <c r="V30" s="561"/>
      <c r="W30" s="561">
        <v>1</v>
      </c>
      <c r="X30" s="561">
        <v>1</v>
      </c>
      <c r="Y30" s="561">
        <v>1</v>
      </c>
      <c r="Z30" s="561"/>
      <c r="AA30" s="567">
        <f>COUNTA(C30:Z30)*21</f>
        <v>63</v>
      </c>
      <c r="AB30" s="568">
        <f>COUNTA(C30:Z30)*21</f>
        <v>63</v>
      </c>
      <c r="AC30" s="563"/>
      <c r="AD30" s="563">
        <v>1</v>
      </c>
      <c r="AE30" s="563"/>
      <c r="AF30" s="564">
        <v>670</v>
      </c>
      <c r="AG30" s="565">
        <f t="shared" ref="AG30:AG46" si="21">AA30*AC30*AE30</f>
        <v>0</v>
      </c>
      <c r="AH30" s="566">
        <f t="shared" ref="AH30:AH46" si="22">AB30*AD30*AF30</f>
        <v>42210</v>
      </c>
      <c r="AI30" s="559"/>
      <c r="AJ30" s="135">
        <f t="shared" si="2"/>
        <v>63</v>
      </c>
    </row>
    <row r="31" spans="1:37" ht="14.5" customHeight="1">
      <c r="A31" s="572" t="s">
        <v>317</v>
      </c>
      <c r="B31" s="823"/>
      <c r="C31" s="560"/>
      <c r="D31" s="561"/>
      <c r="E31" s="561"/>
      <c r="F31" s="561"/>
      <c r="G31" s="561"/>
      <c r="H31" s="561"/>
      <c r="I31" s="561"/>
      <c r="J31" s="561"/>
      <c r="K31" s="561"/>
      <c r="L31" s="561"/>
      <c r="M31" s="561"/>
      <c r="N31" s="562"/>
      <c r="O31" s="561"/>
      <c r="P31" s="561"/>
      <c r="Q31" s="561"/>
      <c r="R31" s="561"/>
      <c r="S31" s="561"/>
      <c r="T31" s="561"/>
      <c r="U31" s="561"/>
      <c r="V31" s="561"/>
      <c r="W31" s="561">
        <v>1</v>
      </c>
      <c r="X31" s="561">
        <v>1</v>
      </c>
      <c r="Y31" s="561">
        <v>1</v>
      </c>
      <c r="Z31" s="561"/>
      <c r="AA31" s="567">
        <f>COUNTA(C31:Z31)*21</f>
        <v>63</v>
      </c>
      <c r="AB31" s="568">
        <f>COUNTA(C31:Z31)*21</f>
        <v>63</v>
      </c>
      <c r="AC31" s="563"/>
      <c r="AD31" s="563">
        <v>1</v>
      </c>
      <c r="AE31" s="563"/>
      <c r="AF31" s="564">
        <v>600</v>
      </c>
      <c r="AG31" s="565">
        <f t="shared" si="21"/>
        <v>0</v>
      </c>
      <c r="AH31" s="566">
        <f t="shared" si="22"/>
        <v>37800</v>
      </c>
      <c r="AI31" s="559"/>
      <c r="AJ31" s="135">
        <f t="shared" si="2"/>
        <v>63</v>
      </c>
    </row>
    <row r="32" spans="1:37" ht="14.5" customHeight="1">
      <c r="A32" s="572" t="s">
        <v>320</v>
      </c>
      <c r="B32" s="823"/>
      <c r="C32" s="560"/>
      <c r="D32" s="561"/>
      <c r="E32" s="561"/>
      <c r="F32" s="561"/>
      <c r="G32" s="561"/>
      <c r="H32" s="561"/>
      <c r="I32" s="561"/>
      <c r="J32" s="561"/>
      <c r="K32" s="561"/>
      <c r="L32" s="561"/>
      <c r="M32" s="561"/>
      <c r="N32" s="562"/>
      <c r="O32" s="561"/>
      <c r="P32" s="561"/>
      <c r="Q32" s="561"/>
      <c r="R32" s="561"/>
      <c r="S32" s="561"/>
      <c r="T32" s="561"/>
      <c r="U32" s="561"/>
      <c r="V32" s="561"/>
      <c r="W32" s="561">
        <v>1</v>
      </c>
      <c r="X32" s="561">
        <v>1</v>
      </c>
      <c r="Y32" s="561">
        <v>1</v>
      </c>
      <c r="Z32" s="561"/>
      <c r="AA32" s="567">
        <f>COUNTA(C32:Z32)*21</f>
        <v>63</v>
      </c>
      <c r="AB32" s="568">
        <f>COUNTA(C32:Z32)*21</f>
        <v>63</v>
      </c>
      <c r="AC32" s="563"/>
      <c r="AD32" s="563">
        <v>2</v>
      </c>
      <c r="AE32" s="563"/>
      <c r="AF32" s="564">
        <v>510</v>
      </c>
      <c r="AG32" s="565">
        <f t="shared" si="21"/>
        <v>0</v>
      </c>
      <c r="AH32" s="566">
        <f t="shared" si="22"/>
        <v>64260</v>
      </c>
      <c r="AI32" s="559"/>
      <c r="AJ32" s="135">
        <f t="shared" si="2"/>
        <v>126</v>
      </c>
      <c r="AK32" s="570"/>
    </row>
    <row r="33" spans="1:37" ht="14.5" customHeight="1">
      <c r="A33" s="572" t="s">
        <v>309</v>
      </c>
      <c r="B33" s="823"/>
      <c r="C33" s="560"/>
      <c r="D33" s="561"/>
      <c r="E33" s="561"/>
      <c r="F33" s="561"/>
      <c r="G33" s="561"/>
      <c r="H33" s="561"/>
      <c r="I33" s="561"/>
      <c r="J33" s="561"/>
      <c r="K33" s="561"/>
      <c r="L33" s="561"/>
      <c r="M33" s="561"/>
      <c r="N33" s="562"/>
      <c r="O33" s="561"/>
      <c r="P33" s="561"/>
      <c r="Q33" s="561"/>
      <c r="R33" s="561"/>
      <c r="S33" s="561"/>
      <c r="T33" s="561"/>
      <c r="U33" s="561"/>
      <c r="V33" s="561"/>
      <c r="W33" s="561">
        <v>1</v>
      </c>
      <c r="X33" s="561">
        <v>1</v>
      </c>
      <c r="Y33" s="561">
        <v>1</v>
      </c>
      <c r="Z33" s="561"/>
      <c r="AA33" s="567">
        <f>COUNTA(C33:Z33)*21</f>
        <v>63</v>
      </c>
      <c r="AB33" s="568">
        <f>COUNTA(C33:Z33)*21</f>
        <v>63</v>
      </c>
      <c r="AC33" s="563"/>
      <c r="AD33" s="563">
        <v>1</v>
      </c>
      <c r="AE33" s="563"/>
      <c r="AF33" s="564">
        <v>550</v>
      </c>
      <c r="AG33" s="565">
        <f t="shared" si="21"/>
        <v>0</v>
      </c>
      <c r="AH33" s="566">
        <f t="shared" si="22"/>
        <v>34650</v>
      </c>
      <c r="AI33" s="559"/>
      <c r="AJ33" s="135">
        <f t="shared" ref="AJ33" si="23">AB33*AD33</f>
        <v>63</v>
      </c>
      <c r="AK33" s="570"/>
    </row>
    <row r="34" spans="1:37" ht="14.5" customHeight="1">
      <c r="A34" s="571" t="s">
        <v>308</v>
      </c>
      <c r="B34" s="823"/>
      <c r="C34" s="560"/>
      <c r="D34" s="561"/>
      <c r="E34" s="561"/>
      <c r="F34" s="561"/>
      <c r="G34" s="561"/>
      <c r="H34" s="561"/>
      <c r="I34" s="561"/>
      <c r="J34" s="561"/>
      <c r="K34" s="561"/>
      <c r="L34" s="561"/>
      <c r="M34" s="561"/>
      <c r="N34" s="562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561"/>
      <c r="Z34" s="561"/>
      <c r="AA34" s="550"/>
      <c r="AB34" s="551"/>
      <c r="AC34" s="238"/>
      <c r="AD34" s="238"/>
      <c r="AE34" s="238"/>
      <c r="AF34" s="458"/>
      <c r="AG34" s="565"/>
      <c r="AH34" s="566"/>
      <c r="AI34" s="559"/>
      <c r="AK34" s="570"/>
    </row>
    <row r="35" spans="1:37" ht="11.75" customHeight="1">
      <c r="A35" s="572" t="s">
        <v>307</v>
      </c>
      <c r="B35" s="823"/>
      <c r="C35" s="560"/>
      <c r="D35" s="561"/>
      <c r="E35" s="561"/>
      <c r="F35" s="561"/>
      <c r="G35" s="561"/>
      <c r="H35" s="561"/>
      <c r="I35" s="561"/>
      <c r="J35" s="561"/>
      <c r="K35" s="561"/>
      <c r="L35" s="561"/>
      <c r="M35" s="561"/>
      <c r="N35" s="562"/>
      <c r="O35" s="561"/>
      <c r="P35" s="561"/>
      <c r="Q35" s="561"/>
      <c r="R35" s="561"/>
      <c r="S35" s="561"/>
      <c r="T35" s="561">
        <v>1</v>
      </c>
      <c r="U35" s="561">
        <v>1</v>
      </c>
      <c r="V35" s="561">
        <v>1</v>
      </c>
      <c r="W35" s="561">
        <v>1</v>
      </c>
      <c r="X35" s="561"/>
      <c r="Y35" s="561"/>
      <c r="Z35" s="561"/>
      <c r="AA35" s="567">
        <f>COUNTA(C35:Z35)*21</f>
        <v>84</v>
      </c>
      <c r="AB35" s="568">
        <f>COUNTA(C35:Z35)*21</f>
        <v>84</v>
      </c>
      <c r="AC35" s="563"/>
      <c r="AD35" s="563">
        <v>1</v>
      </c>
      <c r="AE35" s="563"/>
      <c r="AF35" s="564">
        <v>670</v>
      </c>
      <c r="AG35" s="565">
        <f t="shared" si="21"/>
        <v>0</v>
      </c>
      <c r="AH35" s="566">
        <f t="shared" si="22"/>
        <v>56280</v>
      </c>
      <c r="AI35" s="559"/>
      <c r="AJ35" s="135">
        <f t="shared" si="2"/>
        <v>84</v>
      </c>
    </row>
    <row r="36" spans="1:37" ht="11.75" customHeight="1">
      <c r="A36" s="572" t="s">
        <v>317</v>
      </c>
      <c r="B36" s="823"/>
      <c r="C36" s="560"/>
      <c r="D36" s="561"/>
      <c r="E36" s="561"/>
      <c r="F36" s="561"/>
      <c r="G36" s="561"/>
      <c r="H36" s="561"/>
      <c r="I36" s="561"/>
      <c r="J36" s="561"/>
      <c r="K36" s="561"/>
      <c r="L36" s="561"/>
      <c r="M36" s="561"/>
      <c r="N36" s="562"/>
      <c r="O36" s="561"/>
      <c r="P36" s="561"/>
      <c r="Q36" s="561"/>
      <c r="R36" s="561"/>
      <c r="S36" s="561"/>
      <c r="T36" s="561">
        <v>1</v>
      </c>
      <c r="U36" s="561">
        <v>1</v>
      </c>
      <c r="V36" s="561">
        <v>1</v>
      </c>
      <c r="W36" s="561">
        <v>1</v>
      </c>
      <c r="X36" s="561"/>
      <c r="Y36" s="561"/>
      <c r="Z36" s="561"/>
      <c r="AA36" s="567">
        <f>COUNTA(C36:Z36)*21</f>
        <v>84</v>
      </c>
      <c r="AB36" s="568">
        <f>COUNTA(C36:Z36)*21</f>
        <v>84</v>
      </c>
      <c r="AC36" s="563"/>
      <c r="AD36" s="563">
        <v>2</v>
      </c>
      <c r="AE36" s="563"/>
      <c r="AF36" s="564">
        <v>600</v>
      </c>
      <c r="AG36" s="565">
        <f t="shared" si="21"/>
        <v>0</v>
      </c>
      <c r="AH36" s="566">
        <f t="shared" si="22"/>
        <v>100800</v>
      </c>
      <c r="AI36" s="559"/>
      <c r="AJ36" s="135">
        <f t="shared" si="2"/>
        <v>168</v>
      </c>
    </row>
    <row r="37" spans="1:37" ht="11.75" customHeight="1">
      <c r="A37" s="572" t="s">
        <v>320</v>
      </c>
      <c r="B37" s="823"/>
      <c r="C37" s="560"/>
      <c r="D37" s="561"/>
      <c r="E37" s="561"/>
      <c r="F37" s="561"/>
      <c r="G37" s="561"/>
      <c r="H37" s="561"/>
      <c r="I37" s="561"/>
      <c r="J37" s="561"/>
      <c r="K37" s="561"/>
      <c r="L37" s="561"/>
      <c r="M37" s="561"/>
      <c r="N37" s="562"/>
      <c r="O37" s="561"/>
      <c r="P37" s="561"/>
      <c r="Q37" s="561"/>
      <c r="R37" s="561"/>
      <c r="S37" s="561"/>
      <c r="T37" s="561">
        <v>1</v>
      </c>
      <c r="U37" s="561">
        <v>1</v>
      </c>
      <c r="V37" s="561">
        <v>1</v>
      </c>
      <c r="W37" s="561">
        <v>1</v>
      </c>
      <c r="X37" s="561"/>
      <c r="Y37" s="561"/>
      <c r="Z37" s="561"/>
      <c r="AA37" s="567">
        <f>COUNTA(C37:Z37)*21</f>
        <v>84</v>
      </c>
      <c r="AB37" s="568">
        <f>COUNTA(C37:Z37)*21</f>
        <v>84</v>
      </c>
      <c r="AC37" s="563"/>
      <c r="AD37" s="563">
        <v>3</v>
      </c>
      <c r="AE37" s="563"/>
      <c r="AF37" s="564">
        <v>510</v>
      </c>
      <c r="AG37" s="565">
        <f t="shared" si="21"/>
        <v>0</v>
      </c>
      <c r="AH37" s="566">
        <f t="shared" si="22"/>
        <v>128520</v>
      </c>
      <c r="AI37" s="559"/>
      <c r="AJ37" s="135">
        <f t="shared" si="2"/>
        <v>252</v>
      </c>
    </row>
    <row r="38" spans="1:37" ht="11.75" customHeight="1">
      <c r="A38" s="572" t="s">
        <v>309</v>
      </c>
      <c r="B38" s="823"/>
      <c r="C38" s="560"/>
      <c r="D38" s="561"/>
      <c r="E38" s="561"/>
      <c r="F38" s="561"/>
      <c r="G38" s="561"/>
      <c r="H38" s="561"/>
      <c r="I38" s="561"/>
      <c r="J38" s="561"/>
      <c r="K38" s="561"/>
      <c r="L38" s="561"/>
      <c r="M38" s="561"/>
      <c r="N38" s="562"/>
      <c r="O38" s="561"/>
      <c r="P38" s="561"/>
      <c r="Q38" s="561"/>
      <c r="R38" s="561"/>
      <c r="S38" s="561"/>
      <c r="T38" s="561">
        <v>1</v>
      </c>
      <c r="U38" s="561">
        <v>1</v>
      </c>
      <c r="V38" s="561">
        <v>1</v>
      </c>
      <c r="W38" s="561">
        <v>1</v>
      </c>
      <c r="X38" s="561"/>
      <c r="Y38" s="561"/>
      <c r="Z38" s="561"/>
      <c r="AA38" s="567">
        <f>COUNTA(C38:Z38)*21</f>
        <v>84</v>
      </c>
      <c r="AB38" s="568">
        <f>COUNTA(C38:Z38)*21</f>
        <v>84</v>
      </c>
      <c r="AC38" s="563"/>
      <c r="AD38" s="563">
        <v>2</v>
      </c>
      <c r="AE38" s="563"/>
      <c r="AF38" s="564">
        <v>550</v>
      </c>
      <c r="AG38" s="565">
        <f t="shared" ref="AG38" si="24">AA38*AC38*AE38</f>
        <v>0</v>
      </c>
      <c r="AH38" s="566">
        <f t="shared" ref="AH38" si="25">AB38*AD38*AF38</f>
        <v>92400</v>
      </c>
      <c r="AI38" s="559"/>
      <c r="AJ38" s="135">
        <f t="shared" si="2"/>
        <v>168</v>
      </c>
    </row>
    <row r="39" spans="1:37" ht="14.5" customHeight="1">
      <c r="A39" s="571" t="s">
        <v>310</v>
      </c>
      <c r="B39" s="823"/>
      <c r="C39" s="560"/>
      <c r="D39" s="561"/>
      <c r="E39" s="561"/>
      <c r="F39" s="561"/>
      <c r="G39" s="561"/>
      <c r="H39" s="561"/>
      <c r="I39" s="561"/>
      <c r="J39" s="561"/>
      <c r="K39" s="561"/>
      <c r="L39" s="561"/>
      <c r="M39" s="561"/>
      <c r="N39" s="562"/>
      <c r="O39" s="561"/>
      <c r="P39" s="561"/>
      <c r="Q39" s="561"/>
      <c r="R39" s="561"/>
      <c r="S39" s="561"/>
      <c r="T39" s="561"/>
      <c r="U39" s="561"/>
      <c r="V39" s="561"/>
      <c r="W39" s="561"/>
      <c r="X39" s="561"/>
      <c r="Y39" s="561"/>
      <c r="Z39" s="561"/>
      <c r="AA39" s="550"/>
      <c r="AB39" s="551"/>
      <c r="AC39" s="238"/>
      <c r="AD39" s="238"/>
      <c r="AE39" s="238"/>
      <c r="AF39" s="458"/>
      <c r="AG39" s="565"/>
      <c r="AH39" s="566"/>
      <c r="AI39" s="559"/>
    </row>
    <row r="40" spans="1:37" ht="11.75" customHeight="1">
      <c r="A40" s="572" t="s">
        <v>307</v>
      </c>
      <c r="B40" s="823"/>
      <c r="C40" s="560"/>
      <c r="D40" s="561"/>
      <c r="E40" s="561"/>
      <c r="F40" s="561"/>
      <c r="G40" s="561"/>
      <c r="H40" s="561"/>
      <c r="I40" s="561"/>
      <c r="J40" s="561"/>
      <c r="K40" s="561"/>
      <c r="L40" s="561"/>
      <c r="M40" s="561"/>
      <c r="N40" s="562"/>
      <c r="O40" s="561"/>
      <c r="P40" s="561"/>
      <c r="Q40" s="561"/>
      <c r="R40" s="561"/>
      <c r="S40" s="561">
        <v>1</v>
      </c>
      <c r="T40" s="561">
        <v>1</v>
      </c>
      <c r="U40" s="561">
        <v>1</v>
      </c>
      <c r="V40" s="561">
        <v>1</v>
      </c>
      <c r="W40" s="561"/>
      <c r="X40" s="561"/>
      <c r="Y40" s="561"/>
      <c r="Z40" s="561"/>
      <c r="AA40" s="567">
        <f>COUNTA(C40:Z40)*21</f>
        <v>84</v>
      </c>
      <c r="AB40" s="568">
        <f>COUNTA(C40:Z40)*21</f>
        <v>84</v>
      </c>
      <c r="AC40" s="563"/>
      <c r="AD40" s="563">
        <v>1.5</v>
      </c>
      <c r="AE40" s="563"/>
      <c r="AF40" s="564">
        <v>670</v>
      </c>
      <c r="AG40" s="565">
        <f t="shared" si="21"/>
        <v>0</v>
      </c>
      <c r="AH40" s="566">
        <f t="shared" si="22"/>
        <v>84420</v>
      </c>
      <c r="AI40" s="559"/>
      <c r="AJ40" s="135">
        <f t="shared" si="2"/>
        <v>126</v>
      </c>
    </row>
    <row r="41" spans="1:37" ht="11.75" customHeight="1">
      <c r="A41" s="572" t="s">
        <v>317</v>
      </c>
      <c r="B41" s="823"/>
      <c r="C41" s="560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2"/>
      <c r="O41" s="561"/>
      <c r="P41" s="561"/>
      <c r="Q41" s="561"/>
      <c r="R41" s="561"/>
      <c r="S41" s="561">
        <v>1</v>
      </c>
      <c r="T41" s="561">
        <v>1</v>
      </c>
      <c r="U41" s="561">
        <v>1</v>
      </c>
      <c r="V41" s="561">
        <v>1</v>
      </c>
      <c r="W41" s="561"/>
      <c r="X41" s="561"/>
      <c r="Y41" s="561"/>
      <c r="Z41" s="561"/>
      <c r="AA41" s="567">
        <f>COUNTA(C41:Z41)*21</f>
        <v>84</v>
      </c>
      <c r="AB41" s="568">
        <f>COUNTA(C41:Z41)*21</f>
        <v>84</v>
      </c>
      <c r="AC41" s="563"/>
      <c r="AD41" s="563">
        <v>2</v>
      </c>
      <c r="AE41" s="563"/>
      <c r="AF41" s="564">
        <v>600</v>
      </c>
      <c r="AG41" s="565">
        <f t="shared" si="21"/>
        <v>0</v>
      </c>
      <c r="AH41" s="566">
        <f t="shared" si="22"/>
        <v>100800</v>
      </c>
      <c r="AI41" s="559"/>
      <c r="AJ41" s="135">
        <f t="shared" si="2"/>
        <v>168</v>
      </c>
    </row>
    <row r="42" spans="1:37" ht="11.75" customHeight="1">
      <c r="A42" s="572" t="s">
        <v>320</v>
      </c>
      <c r="B42" s="823"/>
      <c r="C42" s="560"/>
      <c r="D42" s="561"/>
      <c r="E42" s="561"/>
      <c r="F42" s="561"/>
      <c r="G42" s="561"/>
      <c r="H42" s="561"/>
      <c r="I42" s="561"/>
      <c r="J42" s="561"/>
      <c r="K42" s="561"/>
      <c r="L42" s="561"/>
      <c r="M42" s="561"/>
      <c r="N42" s="562"/>
      <c r="O42" s="561"/>
      <c r="P42" s="561"/>
      <c r="Q42" s="561"/>
      <c r="R42" s="561"/>
      <c r="S42" s="561">
        <v>1</v>
      </c>
      <c r="T42" s="561">
        <v>1</v>
      </c>
      <c r="U42" s="561">
        <v>1</v>
      </c>
      <c r="V42" s="561">
        <v>1</v>
      </c>
      <c r="W42" s="561"/>
      <c r="X42" s="561"/>
      <c r="Y42" s="561"/>
      <c r="Z42" s="561"/>
      <c r="AA42" s="567">
        <f>COUNTA(C42:Z42)*21</f>
        <v>84</v>
      </c>
      <c r="AB42" s="568">
        <f>COUNTA(C42:Z42)*21</f>
        <v>84</v>
      </c>
      <c r="AC42" s="563"/>
      <c r="AD42" s="563">
        <v>5</v>
      </c>
      <c r="AE42" s="563"/>
      <c r="AF42" s="564">
        <v>510</v>
      </c>
      <c r="AG42" s="565">
        <f t="shared" si="21"/>
        <v>0</v>
      </c>
      <c r="AH42" s="566">
        <f t="shared" si="22"/>
        <v>214200</v>
      </c>
      <c r="AI42" s="559"/>
      <c r="AJ42" s="135">
        <f t="shared" si="2"/>
        <v>420</v>
      </c>
    </row>
    <row r="43" spans="1:37" ht="11.75" customHeight="1">
      <c r="A43" s="572" t="s">
        <v>309</v>
      </c>
      <c r="B43" s="823"/>
      <c r="C43" s="560"/>
      <c r="D43" s="561"/>
      <c r="E43" s="561"/>
      <c r="F43" s="561"/>
      <c r="G43" s="561"/>
      <c r="H43" s="561"/>
      <c r="I43" s="561"/>
      <c r="J43" s="561"/>
      <c r="K43" s="561"/>
      <c r="L43" s="561"/>
      <c r="M43" s="561"/>
      <c r="N43" s="562"/>
      <c r="O43" s="561"/>
      <c r="P43" s="561"/>
      <c r="Q43" s="561"/>
      <c r="R43" s="561"/>
      <c r="S43" s="561">
        <v>1</v>
      </c>
      <c r="T43" s="561">
        <v>1</v>
      </c>
      <c r="U43" s="561">
        <v>1</v>
      </c>
      <c r="V43" s="561">
        <v>1</v>
      </c>
      <c r="W43" s="561"/>
      <c r="X43" s="561"/>
      <c r="Y43" s="561"/>
      <c r="Z43" s="561"/>
      <c r="AA43" s="567">
        <f>COUNTA(C43:Z43)*21</f>
        <v>84</v>
      </c>
      <c r="AB43" s="568">
        <f>COUNTA(C43:Z43)*21</f>
        <v>84</v>
      </c>
      <c r="AC43" s="563"/>
      <c r="AD43" s="563">
        <v>2</v>
      </c>
      <c r="AE43" s="563"/>
      <c r="AF43" s="564">
        <v>550</v>
      </c>
      <c r="AG43" s="565">
        <f t="shared" si="21"/>
        <v>0</v>
      </c>
      <c r="AH43" s="566">
        <f t="shared" si="22"/>
        <v>92400</v>
      </c>
      <c r="AI43" s="559"/>
      <c r="AJ43" s="135">
        <f t="shared" ref="AJ43" si="26">AB43*AD43</f>
        <v>168</v>
      </c>
    </row>
    <row r="44" spans="1:37" ht="14.5" customHeight="1">
      <c r="A44" s="571" t="s">
        <v>311</v>
      </c>
      <c r="B44" s="823"/>
      <c r="C44" s="560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2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50"/>
      <c r="AB44" s="551"/>
      <c r="AC44" s="238"/>
      <c r="AD44" s="238"/>
      <c r="AE44" s="238"/>
      <c r="AF44" s="458"/>
      <c r="AG44" s="565"/>
      <c r="AH44" s="566"/>
      <c r="AI44" s="559"/>
    </row>
    <row r="45" spans="1:37" ht="15" customHeight="1">
      <c r="A45" s="572" t="s">
        <v>307</v>
      </c>
      <c r="B45" s="823"/>
      <c r="C45" s="560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2"/>
      <c r="O45" s="561"/>
      <c r="P45" s="561"/>
      <c r="Q45" s="561"/>
      <c r="R45" s="561"/>
      <c r="S45" s="561"/>
      <c r="T45" s="561"/>
      <c r="U45" s="561">
        <v>1</v>
      </c>
      <c r="V45" s="561">
        <v>1</v>
      </c>
      <c r="W45" s="561">
        <v>1</v>
      </c>
      <c r="X45" s="561">
        <v>1</v>
      </c>
      <c r="Y45" s="561"/>
      <c r="Z45" s="561"/>
      <c r="AA45" s="567">
        <f>COUNTA(C45:Z45)*21</f>
        <v>84</v>
      </c>
      <c r="AB45" s="568">
        <f>COUNTA(C45:Z45)*21</f>
        <v>84</v>
      </c>
      <c r="AC45" s="563"/>
      <c r="AD45" s="563">
        <v>1.5</v>
      </c>
      <c r="AE45" s="563"/>
      <c r="AF45" s="564">
        <v>670</v>
      </c>
      <c r="AG45" s="565">
        <f t="shared" si="21"/>
        <v>0</v>
      </c>
      <c r="AH45" s="566">
        <f t="shared" si="22"/>
        <v>84420</v>
      </c>
      <c r="AI45" s="559"/>
      <c r="AJ45" s="135">
        <f t="shared" si="2"/>
        <v>126</v>
      </c>
    </row>
    <row r="46" spans="1:37" ht="15" customHeight="1">
      <c r="A46" s="572" t="s">
        <v>317</v>
      </c>
      <c r="B46" s="823"/>
      <c r="C46" s="560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2"/>
      <c r="O46" s="561"/>
      <c r="P46" s="561"/>
      <c r="Q46" s="561"/>
      <c r="R46" s="561"/>
      <c r="S46" s="561"/>
      <c r="T46" s="561"/>
      <c r="U46" s="561">
        <v>1</v>
      </c>
      <c r="V46" s="561">
        <v>1</v>
      </c>
      <c r="W46" s="561">
        <v>1</v>
      </c>
      <c r="X46" s="561">
        <v>1</v>
      </c>
      <c r="Y46" s="561"/>
      <c r="Z46" s="561"/>
      <c r="AA46" s="567">
        <f>COUNTA(C46:Z46)*21</f>
        <v>84</v>
      </c>
      <c r="AB46" s="568">
        <f>COUNTA(C46:Z46)*21</f>
        <v>84</v>
      </c>
      <c r="AC46" s="563"/>
      <c r="AD46" s="563">
        <v>1</v>
      </c>
      <c r="AE46" s="563"/>
      <c r="AF46" s="564">
        <v>600</v>
      </c>
      <c r="AG46" s="565">
        <f t="shared" si="21"/>
        <v>0</v>
      </c>
      <c r="AH46" s="566">
        <f t="shared" si="22"/>
        <v>50400</v>
      </c>
      <c r="AI46" s="559"/>
      <c r="AJ46" s="135">
        <f t="shared" si="2"/>
        <v>84</v>
      </c>
    </row>
    <row r="47" spans="1:37" ht="15" customHeight="1">
      <c r="A47" s="572" t="s">
        <v>320</v>
      </c>
      <c r="B47" s="823"/>
      <c r="C47" s="560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2"/>
      <c r="O47" s="561"/>
      <c r="P47" s="561"/>
      <c r="Q47" s="561"/>
      <c r="R47" s="561"/>
      <c r="S47" s="561"/>
      <c r="T47" s="561"/>
      <c r="U47" s="561">
        <v>1</v>
      </c>
      <c r="V47" s="561">
        <v>1</v>
      </c>
      <c r="W47" s="561">
        <v>1</v>
      </c>
      <c r="X47" s="561">
        <v>1</v>
      </c>
      <c r="Y47" s="561"/>
      <c r="Z47" s="561"/>
      <c r="AA47" s="567">
        <f>COUNTA(C47:Z47)*21</f>
        <v>84</v>
      </c>
      <c r="AB47" s="568">
        <f>COUNTA(C47:Z47)*21</f>
        <v>84</v>
      </c>
      <c r="AC47" s="563"/>
      <c r="AD47" s="563">
        <v>2</v>
      </c>
      <c r="AE47" s="563"/>
      <c r="AF47" s="564">
        <v>510</v>
      </c>
      <c r="AG47" s="565">
        <f t="shared" ref="AG47" si="27">AA47*AC47*AE47</f>
        <v>0</v>
      </c>
      <c r="AH47" s="566">
        <f t="shared" ref="AH47" si="28">AB47*AD47*AF47</f>
        <v>85680</v>
      </c>
      <c r="AI47" s="559"/>
      <c r="AJ47" s="135">
        <f t="shared" ref="AJ47" si="29">AB47*AD47</f>
        <v>168</v>
      </c>
    </row>
    <row r="48" spans="1:37" ht="15" customHeight="1" thickBot="1">
      <c r="A48" s="572" t="s">
        <v>309</v>
      </c>
      <c r="B48" s="823"/>
      <c r="C48" s="560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2"/>
      <c r="O48" s="561"/>
      <c r="P48" s="561"/>
      <c r="Q48" s="561"/>
      <c r="R48" s="561"/>
      <c r="S48" s="561"/>
      <c r="T48" s="561"/>
      <c r="U48" s="561">
        <v>1</v>
      </c>
      <c r="V48" s="561">
        <v>1</v>
      </c>
      <c r="W48" s="561">
        <v>1</v>
      </c>
      <c r="X48" s="561">
        <v>1</v>
      </c>
      <c r="Y48" s="561"/>
      <c r="Z48" s="561"/>
      <c r="AA48" s="567">
        <f>COUNTA(C48:Z48)*21</f>
        <v>84</v>
      </c>
      <c r="AB48" s="568">
        <f>COUNTA(C48:Z48)*21</f>
        <v>84</v>
      </c>
      <c r="AC48" s="563"/>
      <c r="AD48" s="563">
        <v>0.5</v>
      </c>
      <c r="AE48" s="563"/>
      <c r="AF48" s="564">
        <v>550</v>
      </c>
      <c r="AG48" s="565">
        <f t="shared" ref="AG48" si="30">AA48*AC48*AE48</f>
        <v>0</v>
      </c>
      <c r="AH48" s="566">
        <f t="shared" ref="AH48" si="31">AB48*AD48*AF48</f>
        <v>23100</v>
      </c>
      <c r="AI48" s="559"/>
      <c r="AJ48" s="135">
        <f t="shared" si="2"/>
        <v>42</v>
      </c>
    </row>
    <row r="49" spans="1:36" ht="11.75" customHeight="1">
      <c r="A49" s="618" t="s">
        <v>321</v>
      </c>
      <c r="B49" s="641"/>
      <c r="C49" s="638"/>
      <c r="D49" s="614"/>
      <c r="E49" s="614"/>
      <c r="F49" s="614"/>
      <c r="G49" s="614"/>
      <c r="H49" s="614"/>
      <c r="I49" s="614"/>
      <c r="J49" s="614"/>
      <c r="K49" s="614"/>
      <c r="L49" s="614"/>
      <c r="M49" s="614"/>
      <c r="N49" s="615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6"/>
      <c r="AB49" s="617"/>
      <c r="AC49" s="625"/>
      <c r="AD49" s="625"/>
      <c r="AE49" s="625"/>
      <c r="AF49" s="626"/>
      <c r="AG49" s="627"/>
      <c r="AH49" s="628"/>
      <c r="AI49" s="559"/>
    </row>
    <row r="50" spans="1:36" ht="11.75" customHeight="1">
      <c r="A50" s="571" t="s">
        <v>306</v>
      </c>
      <c r="B50" s="823" t="s">
        <v>322</v>
      </c>
      <c r="C50" s="560"/>
      <c r="D50" s="561"/>
      <c r="E50" s="561"/>
      <c r="F50" s="561"/>
      <c r="G50" s="561"/>
      <c r="H50" s="561"/>
      <c r="I50" s="561"/>
      <c r="J50" s="561"/>
      <c r="K50" s="561"/>
      <c r="L50" s="561"/>
      <c r="M50" s="561"/>
      <c r="N50" s="562"/>
      <c r="O50" s="561"/>
      <c r="P50" s="561"/>
      <c r="Q50" s="561"/>
      <c r="R50" s="561"/>
      <c r="S50" s="561"/>
      <c r="T50" s="561"/>
      <c r="U50" s="561"/>
      <c r="V50" s="561"/>
      <c r="W50" s="561"/>
      <c r="X50" s="561"/>
      <c r="Y50" s="561"/>
      <c r="Z50" s="561"/>
      <c r="AA50" s="550"/>
      <c r="AB50" s="551"/>
      <c r="AC50" s="238"/>
      <c r="AD50" s="238"/>
      <c r="AE50" s="238"/>
      <c r="AF50" s="458"/>
      <c r="AG50" s="565"/>
      <c r="AH50" s="566"/>
      <c r="AI50" s="559"/>
    </row>
    <row r="51" spans="1:36" ht="11.75" customHeight="1">
      <c r="A51" s="572" t="s">
        <v>317</v>
      </c>
      <c r="B51" s="823"/>
      <c r="C51" s="560"/>
      <c r="D51" s="561"/>
      <c r="E51" s="561"/>
      <c r="F51" s="561"/>
      <c r="G51" s="561"/>
      <c r="H51" s="561"/>
      <c r="I51" s="561"/>
      <c r="J51" s="561"/>
      <c r="K51" s="561"/>
      <c r="L51" s="561"/>
      <c r="M51" s="561"/>
      <c r="N51" s="562"/>
      <c r="O51" s="561"/>
      <c r="P51" s="561"/>
      <c r="Q51" s="561"/>
      <c r="R51" s="561"/>
      <c r="S51" s="561"/>
      <c r="T51" s="561"/>
      <c r="U51" s="561"/>
      <c r="V51" s="561"/>
      <c r="W51" s="561"/>
      <c r="X51" s="561"/>
      <c r="Y51" s="561"/>
      <c r="Z51" s="561">
        <v>1</v>
      </c>
      <c r="AA51" s="567">
        <f>COUNTA(C51:Z51)*21</f>
        <v>21</v>
      </c>
      <c r="AB51" s="568">
        <f>COUNTA(C51:Z51)*21</f>
        <v>21</v>
      </c>
      <c r="AC51" s="563"/>
      <c r="AD51" s="563">
        <v>1</v>
      </c>
      <c r="AE51" s="563"/>
      <c r="AF51" s="564">
        <v>600</v>
      </c>
      <c r="AG51" s="565">
        <f t="shared" ref="AG51:AG63" si="32">AA51*AC51*AE51</f>
        <v>0</v>
      </c>
      <c r="AH51" s="566">
        <f t="shared" ref="AH51:AH63" si="33">AB51*AD51*AF51</f>
        <v>12600</v>
      </c>
      <c r="AI51" s="559"/>
      <c r="AJ51" s="135">
        <f t="shared" ref="AJ51:AJ65" si="34">AB51*AD51</f>
        <v>21</v>
      </c>
    </row>
    <row r="52" spans="1:36" ht="11.75" customHeight="1">
      <c r="A52" s="572" t="s">
        <v>320</v>
      </c>
      <c r="B52" s="823"/>
      <c r="C52" s="560"/>
      <c r="D52" s="561"/>
      <c r="E52" s="561"/>
      <c r="F52" s="561"/>
      <c r="G52" s="561"/>
      <c r="H52" s="561"/>
      <c r="I52" s="561"/>
      <c r="J52" s="561"/>
      <c r="K52" s="561"/>
      <c r="L52" s="561"/>
      <c r="M52" s="561"/>
      <c r="N52" s="562"/>
      <c r="O52" s="561"/>
      <c r="P52" s="561"/>
      <c r="Q52" s="561"/>
      <c r="R52" s="561"/>
      <c r="S52" s="561"/>
      <c r="T52" s="561"/>
      <c r="U52" s="561"/>
      <c r="V52" s="561"/>
      <c r="W52" s="561"/>
      <c r="X52" s="561"/>
      <c r="Y52" s="561"/>
      <c r="Z52" s="561">
        <v>1</v>
      </c>
      <c r="AA52" s="567">
        <f>COUNTA(C52:Z52)*21</f>
        <v>21</v>
      </c>
      <c r="AB52" s="568">
        <f>COUNTA(C52:Z52)*21</f>
        <v>21</v>
      </c>
      <c r="AC52" s="563"/>
      <c r="AD52" s="563">
        <v>0.2</v>
      </c>
      <c r="AE52" s="563"/>
      <c r="AF52" s="564">
        <v>510</v>
      </c>
      <c r="AG52" s="565">
        <f t="shared" si="32"/>
        <v>0</v>
      </c>
      <c r="AH52" s="566">
        <f t="shared" si="33"/>
        <v>2142</v>
      </c>
      <c r="AI52" s="559"/>
      <c r="AJ52" s="135">
        <f t="shared" si="34"/>
        <v>4.2</v>
      </c>
    </row>
    <row r="53" spans="1:36" ht="11.75" customHeight="1">
      <c r="A53" s="572" t="s">
        <v>323</v>
      </c>
      <c r="B53" s="823"/>
      <c r="C53" s="560"/>
      <c r="D53" s="561"/>
      <c r="E53" s="561"/>
      <c r="F53" s="561"/>
      <c r="G53" s="561"/>
      <c r="H53" s="561"/>
      <c r="I53" s="561"/>
      <c r="J53" s="561"/>
      <c r="K53" s="561"/>
      <c r="L53" s="561"/>
      <c r="M53" s="561"/>
      <c r="N53" s="562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>
        <v>1</v>
      </c>
      <c r="AA53" s="567">
        <f>COUNTA(C53:Z53)*21</f>
        <v>21</v>
      </c>
      <c r="AB53" s="568">
        <f>COUNTA(C53:Z53)*21</f>
        <v>21</v>
      </c>
      <c r="AC53" s="563"/>
      <c r="AD53" s="563">
        <v>1</v>
      </c>
      <c r="AE53" s="563"/>
      <c r="AF53" s="564">
        <v>640</v>
      </c>
      <c r="AG53" s="565">
        <f t="shared" ref="AG53" si="35">AA53*AC53*AE53</f>
        <v>0</v>
      </c>
      <c r="AH53" s="566">
        <f t="shared" ref="AH53" si="36">AB53*AD53*AF53</f>
        <v>13440</v>
      </c>
      <c r="AI53" s="559"/>
      <c r="AJ53" s="135">
        <f t="shared" si="34"/>
        <v>21</v>
      </c>
    </row>
    <row r="54" spans="1:36" ht="14.5" customHeight="1">
      <c r="A54" s="571" t="s">
        <v>308</v>
      </c>
      <c r="B54" s="823"/>
      <c r="C54" s="560"/>
      <c r="D54" s="561"/>
      <c r="E54" s="561"/>
      <c r="F54" s="561"/>
      <c r="G54" s="561"/>
      <c r="H54" s="561"/>
      <c r="I54" s="561"/>
      <c r="J54" s="561"/>
      <c r="K54" s="561"/>
      <c r="L54" s="561"/>
      <c r="M54" s="561"/>
      <c r="N54" s="562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  <c r="Z54" s="561"/>
      <c r="AA54" s="550"/>
      <c r="AB54" s="551"/>
      <c r="AC54" s="238"/>
      <c r="AD54" s="238"/>
      <c r="AE54" s="238"/>
      <c r="AF54" s="458"/>
      <c r="AG54" s="565"/>
      <c r="AH54" s="566"/>
      <c r="AI54" s="559"/>
    </row>
    <row r="55" spans="1:36" ht="11.75" customHeight="1">
      <c r="A55" s="572" t="s">
        <v>317</v>
      </c>
      <c r="B55" s="823"/>
      <c r="C55" s="560"/>
      <c r="D55" s="561"/>
      <c r="E55" s="561"/>
      <c r="F55" s="561"/>
      <c r="G55" s="561"/>
      <c r="H55" s="561"/>
      <c r="I55" s="561"/>
      <c r="J55" s="561"/>
      <c r="K55" s="561"/>
      <c r="L55" s="561"/>
      <c r="M55" s="561"/>
      <c r="N55" s="562"/>
      <c r="O55" s="561"/>
      <c r="P55" s="561"/>
      <c r="Q55" s="561"/>
      <c r="R55" s="561"/>
      <c r="S55" s="561"/>
      <c r="T55" s="561"/>
      <c r="U55" s="561"/>
      <c r="V55" s="561"/>
      <c r="W55" s="561"/>
      <c r="X55" s="561">
        <v>1</v>
      </c>
      <c r="Y55" s="561">
        <v>1</v>
      </c>
      <c r="Z55" s="561">
        <v>1</v>
      </c>
      <c r="AA55" s="567">
        <f>COUNTA(C55:Z55)*21</f>
        <v>63</v>
      </c>
      <c r="AB55" s="568">
        <f>COUNTA(C55:Z55)*21</f>
        <v>63</v>
      </c>
      <c r="AC55" s="563"/>
      <c r="AD55" s="563">
        <v>1</v>
      </c>
      <c r="AE55" s="563"/>
      <c r="AF55" s="564">
        <v>600</v>
      </c>
      <c r="AG55" s="565">
        <f t="shared" si="32"/>
        <v>0</v>
      </c>
      <c r="AH55" s="566">
        <f t="shared" si="33"/>
        <v>37800</v>
      </c>
      <c r="AI55" s="559"/>
      <c r="AJ55" s="135">
        <f t="shared" si="34"/>
        <v>63</v>
      </c>
    </row>
    <row r="56" spans="1:36" ht="11.75" customHeight="1">
      <c r="A56" s="572" t="s">
        <v>320</v>
      </c>
      <c r="B56" s="823"/>
      <c r="C56" s="560"/>
      <c r="D56" s="561"/>
      <c r="E56" s="561"/>
      <c r="F56" s="561"/>
      <c r="G56" s="561"/>
      <c r="H56" s="561"/>
      <c r="I56" s="561"/>
      <c r="J56" s="561"/>
      <c r="K56" s="561"/>
      <c r="L56" s="561"/>
      <c r="M56" s="561"/>
      <c r="N56" s="562"/>
      <c r="O56" s="561"/>
      <c r="P56" s="561"/>
      <c r="Q56" s="561"/>
      <c r="R56" s="561"/>
      <c r="S56" s="561"/>
      <c r="T56" s="561"/>
      <c r="U56" s="561"/>
      <c r="V56" s="561"/>
      <c r="W56" s="561"/>
      <c r="X56" s="561">
        <v>1</v>
      </c>
      <c r="Y56" s="561">
        <v>1</v>
      </c>
      <c r="Z56" s="561">
        <v>1</v>
      </c>
      <c r="AA56" s="567">
        <f>COUNTA(C56:Z56)*21</f>
        <v>63</v>
      </c>
      <c r="AB56" s="568">
        <f>COUNTA(C56:Z56)*21</f>
        <v>63</v>
      </c>
      <c r="AC56" s="563"/>
      <c r="AD56" s="563">
        <v>1</v>
      </c>
      <c r="AE56" s="563"/>
      <c r="AF56" s="564">
        <v>510</v>
      </c>
      <c r="AG56" s="565">
        <f t="shared" si="32"/>
        <v>0</v>
      </c>
      <c r="AH56" s="566">
        <f t="shared" si="33"/>
        <v>32130</v>
      </c>
      <c r="AI56" s="559"/>
      <c r="AJ56" s="135">
        <f t="shared" si="34"/>
        <v>63</v>
      </c>
    </row>
    <row r="57" spans="1:36" ht="11.75" customHeight="1">
      <c r="A57" s="572" t="s">
        <v>323</v>
      </c>
      <c r="B57" s="823"/>
      <c r="C57" s="560"/>
      <c r="D57" s="561"/>
      <c r="E57" s="561"/>
      <c r="F57" s="561"/>
      <c r="G57" s="561"/>
      <c r="H57" s="561"/>
      <c r="I57" s="561"/>
      <c r="J57" s="561"/>
      <c r="K57" s="561"/>
      <c r="L57" s="561"/>
      <c r="M57" s="561"/>
      <c r="N57" s="562"/>
      <c r="O57" s="561"/>
      <c r="P57" s="561"/>
      <c r="Q57" s="561"/>
      <c r="R57" s="561"/>
      <c r="S57" s="561"/>
      <c r="T57" s="561"/>
      <c r="U57" s="561"/>
      <c r="V57" s="561"/>
      <c r="W57" s="561"/>
      <c r="X57" s="561">
        <v>1</v>
      </c>
      <c r="Y57" s="561">
        <v>1</v>
      </c>
      <c r="Z57" s="561">
        <v>1</v>
      </c>
      <c r="AA57" s="567">
        <f>COUNTA(C57:Z57)*21</f>
        <v>63</v>
      </c>
      <c r="AB57" s="568">
        <f>COUNTA(C57:Z57)*21</f>
        <v>63</v>
      </c>
      <c r="AC57" s="563"/>
      <c r="AD57" s="563">
        <v>2</v>
      </c>
      <c r="AE57" s="563"/>
      <c r="AF57" s="564">
        <v>640</v>
      </c>
      <c r="AG57" s="565">
        <f t="shared" si="32"/>
        <v>0</v>
      </c>
      <c r="AH57" s="566">
        <f t="shared" si="33"/>
        <v>80640</v>
      </c>
      <c r="AI57" s="559"/>
      <c r="AJ57" s="135">
        <f t="shared" si="34"/>
        <v>126</v>
      </c>
    </row>
    <row r="58" spans="1:36" ht="14.5" customHeight="1">
      <c r="A58" s="571" t="s">
        <v>310</v>
      </c>
      <c r="B58" s="823"/>
      <c r="C58" s="560"/>
      <c r="D58" s="561"/>
      <c r="E58" s="561"/>
      <c r="F58" s="561"/>
      <c r="G58" s="561"/>
      <c r="H58" s="561"/>
      <c r="I58" s="561"/>
      <c r="J58" s="561"/>
      <c r="K58" s="561"/>
      <c r="L58" s="561"/>
      <c r="M58" s="561"/>
      <c r="N58" s="562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  <c r="Z58" s="561"/>
      <c r="AA58" s="550"/>
      <c r="AB58" s="551"/>
      <c r="AC58" s="238"/>
      <c r="AD58" s="238"/>
      <c r="AE58" s="238"/>
      <c r="AF58" s="458"/>
      <c r="AG58" s="565"/>
      <c r="AH58" s="566"/>
      <c r="AI58" s="559"/>
    </row>
    <row r="59" spans="1:36" ht="11.75" customHeight="1">
      <c r="A59" s="572" t="s">
        <v>317</v>
      </c>
      <c r="B59" s="823"/>
      <c r="C59" s="560"/>
      <c r="D59" s="561"/>
      <c r="E59" s="561"/>
      <c r="F59" s="561"/>
      <c r="G59" s="561"/>
      <c r="H59" s="561"/>
      <c r="I59" s="561"/>
      <c r="J59" s="561"/>
      <c r="K59" s="561"/>
      <c r="L59" s="561"/>
      <c r="M59" s="561"/>
      <c r="N59" s="562"/>
      <c r="O59" s="561"/>
      <c r="P59" s="561"/>
      <c r="Q59" s="561"/>
      <c r="R59" s="561"/>
      <c r="S59" s="561"/>
      <c r="T59" s="561"/>
      <c r="U59" s="561"/>
      <c r="V59" s="561"/>
      <c r="W59" s="561">
        <v>1</v>
      </c>
      <c r="X59" s="561">
        <v>1</v>
      </c>
      <c r="Y59" s="561">
        <v>1</v>
      </c>
      <c r="Z59" s="561">
        <v>1</v>
      </c>
      <c r="AA59" s="567">
        <f>COUNTA(C59:Z59)*21</f>
        <v>84</v>
      </c>
      <c r="AB59" s="568">
        <f>COUNTA(C59:Z59)*21</f>
        <v>84</v>
      </c>
      <c r="AC59" s="563"/>
      <c r="AD59" s="563">
        <v>1</v>
      </c>
      <c r="AE59" s="563"/>
      <c r="AF59" s="564">
        <v>600</v>
      </c>
      <c r="AG59" s="565">
        <f t="shared" si="32"/>
        <v>0</v>
      </c>
      <c r="AH59" s="566">
        <f t="shared" si="33"/>
        <v>50400</v>
      </c>
      <c r="AI59" s="559"/>
      <c r="AJ59" s="135">
        <f t="shared" si="34"/>
        <v>84</v>
      </c>
    </row>
    <row r="60" spans="1:36" ht="11.75" customHeight="1">
      <c r="A60" s="572" t="s">
        <v>320</v>
      </c>
      <c r="B60" s="823"/>
      <c r="C60" s="560"/>
      <c r="D60" s="561"/>
      <c r="E60" s="561"/>
      <c r="F60" s="561"/>
      <c r="G60" s="561"/>
      <c r="H60" s="561"/>
      <c r="I60" s="561"/>
      <c r="J60" s="561"/>
      <c r="K60" s="561"/>
      <c r="L60" s="561"/>
      <c r="M60" s="561"/>
      <c r="N60" s="562"/>
      <c r="O60" s="561"/>
      <c r="P60" s="561"/>
      <c r="Q60" s="561"/>
      <c r="R60" s="561"/>
      <c r="S60" s="561"/>
      <c r="T60" s="561"/>
      <c r="U60" s="561"/>
      <c r="V60" s="561"/>
      <c r="W60" s="561">
        <v>1</v>
      </c>
      <c r="X60" s="561">
        <v>1</v>
      </c>
      <c r="Y60" s="561">
        <v>1</v>
      </c>
      <c r="Z60" s="561">
        <v>1</v>
      </c>
      <c r="AA60" s="567">
        <f>COUNTA(C60:Z60)*21</f>
        <v>84</v>
      </c>
      <c r="AB60" s="568">
        <f>COUNTA(C60:Z60)*21</f>
        <v>84</v>
      </c>
      <c r="AC60" s="563"/>
      <c r="AD60" s="563">
        <v>1</v>
      </c>
      <c r="AE60" s="563"/>
      <c r="AF60" s="564">
        <v>510</v>
      </c>
      <c r="AG60" s="565">
        <f t="shared" si="32"/>
        <v>0</v>
      </c>
      <c r="AH60" s="566">
        <f t="shared" si="33"/>
        <v>42840</v>
      </c>
      <c r="AI60" s="559"/>
      <c r="AJ60" s="135">
        <f t="shared" si="34"/>
        <v>84</v>
      </c>
    </row>
    <row r="61" spans="1:36" ht="11.75" customHeight="1">
      <c r="A61" s="572" t="s">
        <v>323</v>
      </c>
      <c r="B61" s="823"/>
      <c r="C61" s="560"/>
      <c r="D61" s="561"/>
      <c r="E61" s="561"/>
      <c r="F61" s="561"/>
      <c r="G61" s="561"/>
      <c r="H61" s="561"/>
      <c r="I61" s="561"/>
      <c r="J61" s="561"/>
      <c r="K61" s="561"/>
      <c r="L61" s="561"/>
      <c r="M61" s="561"/>
      <c r="N61" s="562"/>
      <c r="O61" s="561"/>
      <c r="P61" s="561"/>
      <c r="Q61" s="561"/>
      <c r="R61" s="561"/>
      <c r="S61" s="561"/>
      <c r="T61" s="561"/>
      <c r="U61" s="561"/>
      <c r="V61" s="561"/>
      <c r="W61" s="561">
        <v>1</v>
      </c>
      <c r="X61" s="561">
        <v>1</v>
      </c>
      <c r="Y61" s="561">
        <v>1</v>
      </c>
      <c r="Z61" s="561">
        <v>1</v>
      </c>
      <c r="AA61" s="567">
        <f>COUNTA(C61:Z61)*21</f>
        <v>84</v>
      </c>
      <c r="AB61" s="568">
        <f>COUNTA(C61:Z61)*21</f>
        <v>84</v>
      </c>
      <c r="AC61" s="563"/>
      <c r="AD61" s="563">
        <v>2</v>
      </c>
      <c r="AE61" s="563"/>
      <c r="AF61" s="564">
        <v>640</v>
      </c>
      <c r="AG61" s="565">
        <f t="shared" si="32"/>
        <v>0</v>
      </c>
      <c r="AH61" s="566">
        <f t="shared" si="33"/>
        <v>107520</v>
      </c>
      <c r="AI61" s="559"/>
      <c r="AJ61" s="135">
        <f t="shared" si="34"/>
        <v>168</v>
      </c>
    </row>
    <row r="62" spans="1:36" ht="14.5" customHeight="1">
      <c r="A62" s="571" t="s">
        <v>311</v>
      </c>
      <c r="B62" s="823"/>
      <c r="C62" s="560"/>
      <c r="D62" s="561"/>
      <c r="E62" s="561"/>
      <c r="F62" s="561"/>
      <c r="G62" s="561"/>
      <c r="H62" s="561"/>
      <c r="I62" s="561"/>
      <c r="J62" s="561"/>
      <c r="K62" s="561"/>
      <c r="L62" s="561"/>
      <c r="M62" s="561"/>
      <c r="N62" s="562"/>
      <c r="O62" s="561"/>
      <c r="P62" s="561"/>
      <c r="Q62" s="561"/>
      <c r="R62" s="561"/>
      <c r="S62" s="561"/>
      <c r="T62" s="561"/>
      <c r="U62" s="561"/>
      <c r="V62" s="561"/>
      <c r="W62" s="561"/>
      <c r="X62" s="561"/>
      <c r="Y62" s="561"/>
      <c r="Z62" s="561"/>
      <c r="AA62" s="550"/>
      <c r="AB62" s="551"/>
      <c r="AC62" s="238"/>
      <c r="AD62" s="238"/>
      <c r="AE62" s="238"/>
      <c r="AF62" s="458"/>
      <c r="AG62" s="565"/>
      <c r="AH62" s="566"/>
      <c r="AI62" s="559"/>
    </row>
    <row r="63" spans="1:36" ht="15" customHeight="1">
      <c r="A63" s="572" t="s">
        <v>317</v>
      </c>
      <c r="B63" s="823"/>
      <c r="C63" s="560"/>
      <c r="D63" s="561"/>
      <c r="E63" s="561"/>
      <c r="F63" s="561"/>
      <c r="G63" s="561"/>
      <c r="H63" s="561"/>
      <c r="I63" s="561"/>
      <c r="J63" s="561"/>
      <c r="K63" s="561"/>
      <c r="L63" s="561"/>
      <c r="M63" s="561"/>
      <c r="N63" s="562"/>
      <c r="O63" s="561"/>
      <c r="P63" s="561"/>
      <c r="Q63" s="561"/>
      <c r="R63" s="561"/>
      <c r="S63" s="561"/>
      <c r="T63" s="561"/>
      <c r="U63" s="561"/>
      <c r="V63" s="561"/>
      <c r="W63" s="561"/>
      <c r="X63" s="561"/>
      <c r="Y63" s="561">
        <v>1</v>
      </c>
      <c r="Z63" s="561">
        <v>1</v>
      </c>
      <c r="AA63" s="567">
        <f>COUNTA(C63:Z63)*21</f>
        <v>42</v>
      </c>
      <c r="AB63" s="568">
        <f>COUNTA(C63:Z63)*21</f>
        <v>42</v>
      </c>
      <c r="AC63" s="563"/>
      <c r="AD63" s="563">
        <v>0.5</v>
      </c>
      <c r="AE63" s="563"/>
      <c r="AF63" s="564">
        <v>600</v>
      </c>
      <c r="AG63" s="565">
        <f t="shared" si="32"/>
        <v>0</v>
      </c>
      <c r="AH63" s="566">
        <f t="shared" si="33"/>
        <v>12600</v>
      </c>
      <c r="AI63" s="559"/>
      <c r="AJ63" s="135">
        <f t="shared" si="34"/>
        <v>21</v>
      </c>
    </row>
    <row r="64" spans="1:36" ht="15" customHeight="1">
      <c r="A64" s="572" t="s">
        <v>320</v>
      </c>
      <c r="B64" s="823"/>
      <c r="C64" s="560"/>
      <c r="D64" s="561"/>
      <c r="E64" s="561"/>
      <c r="F64" s="561"/>
      <c r="G64" s="561"/>
      <c r="H64" s="561"/>
      <c r="I64" s="561"/>
      <c r="J64" s="561"/>
      <c r="K64" s="561"/>
      <c r="L64" s="561"/>
      <c r="M64" s="561"/>
      <c r="N64" s="562"/>
      <c r="O64" s="561"/>
      <c r="P64" s="561"/>
      <c r="Q64" s="561"/>
      <c r="R64" s="561"/>
      <c r="S64" s="561"/>
      <c r="T64" s="561"/>
      <c r="U64" s="561"/>
      <c r="V64" s="561"/>
      <c r="W64" s="561"/>
      <c r="X64" s="561"/>
      <c r="Y64" s="561">
        <v>1</v>
      </c>
      <c r="Z64" s="561">
        <v>1</v>
      </c>
      <c r="AA64" s="567">
        <f>COUNTA(C64:Z64)*21</f>
        <v>42</v>
      </c>
      <c r="AB64" s="568">
        <f>COUNTA(C64:Z64)*21</f>
        <v>42</v>
      </c>
      <c r="AC64" s="563"/>
      <c r="AD64" s="563">
        <v>0.2</v>
      </c>
      <c r="AE64" s="563"/>
      <c r="AF64" s="564">
        <v>510</v>
      </c>
      <c r="AG64" s="565">
        <f t="shared" ref="AG64" si="37">AA64*AC64*AE64</f>
        <v>0</v>
      </c>
      <c r="AH64" s="566">
        <f t="shared" ref="AH64" si="38">AB64*AD64*AF64</f>
        <v>4284</v>
      </c>
      <c r="AI64" s="559"/>
      <c r="AJ64" s="135">
        <f t="shared" ref="AJ64" si="39">AB64*AD64</f>
        <v>8.4</v>
      </c>
    </row>
    <row r="65" spans="1:36" ht="15" customHeight="1" thickBot="1">
      <c r="A65" s="572" t="s">
        <v>323</v>
      </c>
      <c r="B65" s="823"/>
      <c r="C65" s="560"/>
      <c r="D65" s="561"/>
      <c r="E65" s="561"/>
      <c r="F65" s="561"/>
      <c r="G65" s="561"/>
      <c r="H65" s="561"/>
      <c r="I65" s="561"/>
      <c r="J65" s="561"/>
      <c r="K65" s="561"/>
      <c r="L65" s="561"/>
      <c r="M65" s="561"/>
      <c r="N65" s="562"/>
      <c r="O65" s="561"/>
      <c r="P65" s="561"/>
      <c r="Q65" s="561"/>
      <c r="R65" s="561"/>
      <c r="S65" s="561"/>
      <c r="T65" s="561"/>
      <c r="U65" s="561"/>
      <c r="V65" s="561"/>
      <c r="W65" s="561"/>
      <c r="X65" s="561"/>
      <c r="Y65" s="561">
        <v>1</v>
      </c>
      <c r="Z65" s="561">
        <v>1</v>
      </c>
      <c r="AA65" s="567">
        <f>COUNTA(C65:Z65)*21</f>
        <v>42</v>
      </c>
      <c r="AB65" s="568">
        <f>COUNTA(C65:Z65)*21</f>
        <v>42</v>
      </c>
      <c r="AC65" s="563"/>
      <c r="AD65" s="563">
        <v>1</v>
      </c>
      <c r="AE65" s="563"/>
      <c r="AF65" s="564">
        <v>640</v>
      </c>
      <c r="AG65" s="565">
        <f t="shared" ref="AG65" si="40">AA65*AC65*AE65</f>
        <v>0</v>
      </c>
      <c r="AH65" s="566">
        <f t="shared" ref="AH65" si="41">AB65*AD65*AF65</f>
        <v>26880</v>
      </c>
      <c r="AI65" s="559"/>
      <c r="AJ65" s="135">
        <f t="shared" si="34"/>
        <v>42</v>
      </c>
    </row>
    <row r="66" spans="1:36" ht="11.75" customHeight="1">
      <c r="A66" s="637" t="s">
        <v>324</v>
      </c>
      <c r="B66" s="641"/>
      <c r="C66" s="620"/>
      <c r="D66" s="621"/>
      <c r="E66" s="621"/>
      <c r="F66" s="621"/>
      <c r="G66" s="621"/>
      <c r="H66" s="621"/>
      <c r="I66" s="621"/>
      <c r="J66" s="621"/>
      <c r="K66" s="621"/>
      <c r="L66" s="621"/>
      <c r="M66" s="621"/>
      <c r="N66" s="622"/>
      <c r="O66" s="621"/>
      <c r="P66" s="621"/>
      <c r="Q66" s="621"/>
      <c r="R66" s="621"/>
      <c r="S66" s="621"/>
      <c r="T66" s="621"/>
      <c r="U66" s="621"/>
      <c r="V66" s="621"/>
      <c r="W66" s="621"/>
      <c r="X66" s="621"/>
      <c r="Y66" s="621"/>
      <c r="Z66" s="621"/>
      <c r="AA66" s="633"/>
      <c r="AB66" s="634"/>
      <c r="AC66" s="635"/>
      <c r="AD66" s="635"/>
      <c r="AE66" s="635"/>
      <c r="AF66" s="636"/>
      <c r="AG66" s="631"/>
      <c r="AH66" s="632"/>
      <c r="AI66" s="559"/>
    </row>
    <row r="67" spans="1:36" ht="31" customHeight="1">
      <c r="A67" s="569" t="s">
        <v>251</v>
      </c>
      <c r="B67" s="823" t="s">
        <v>325</v>
      </c>
      <c r="C67" s="560">
        <v>1</v>
      </c>
      <c r="D67" s="561">
        <v>1</v>
      </c>
      <c r="E67" s="561">
        <v>1</v>
      </c>
      <c r="F67" s="561">
        <v>1</v>
      </c>
      <c r="G67" s="561">
        <v>1</v>
      </c>
      <c r="H67" s="561">
        <v>1</v>
      </c>
      <c r="I67" s="561">
        <v>1</v>
      </c>
      <c r="J67" s="561">
        <v>1</v>
      </c>
      <c r="K67" s="561">
        <v>1</v>
      </c>
      <c r="L67" s="561">
        <v>1</v>
      </c>
      <c r="M67" s="561">
        <v>1</v>
      </c>
      <c r="N67" s="562">
        <v>1</v>
      </c>
      <c r="O67" s="561">
        <v>1</v>
      </c>
      <c r="P67" s="561">
        <v>1</v>
      </c>
      <c r="Q67" s="561">
        <v>1</v>
      </c>
      <c r="R67" s="561">
        <v>1</v>
      </c>
      <c r="S67" s="561">
        <v>1</v>
      </c>
      <c r="T67" s="561">
        <v>1</v>
      </c>
      <c r="U67" s="561">
        <v>1</v>
      </c>
      <c r="V67" s="561">
        <v>1</v>
      </c>
      <c r="W67" s="561">
        <v>1</v>
      </c>
      <c r="X67" s="561">
        <v>1</v>
      </c>
      <c r="Y67" s="561">
        <v>1</v>
      </c>
      <c r="Z67" s="561">
        <v>1</v>
      </c>
      <c r="AA67" s="567">
        <f>COUNTA(C67:Z67)*21</f>
        <v>504</v>
      </c>
      <c r="AB67" s="568">
        <f>COUNTA(C67:Z67)*21</f>
        <v>504</v>
      </c>
      <c r="AC67" s="563"/>
      <c r="AD67" s="563"/>
      <c r="AE67" s="563"/>
      <c r="AF67" s="564"/>
      <c r="AG67" s="565">
        <f t="shared" ref="AG67" si="42">AA67*AC67*AE67</f>
        <v>0</v>
      </c>
      <c r="AH67" s="566">
        <f>(SUM(AH4:AH65)/93)*5</f>
        <v>342862.35215053766</v>
      </c>
      <c r="AI67" s="559"/>
    </row>
    <row r="68" spans="1:36" ht="32" customHeight="1" thickBot="1">
      <c r="A68" s="569" t="s">
        <v>252</v>
      </c>
      <c r="B68" s="825"/>
      <c r="C68" s="560">
        <v>1</v>
      </c>
      <c r="D68" s="561">
        <v>1</v>
      </c>
      <c r="E68" s="561">
        <v>1</v>
      </c>
      <c r="F68" s="561">
        <v>1</v>
      </c>
      <c r="G68" s="561">
        <v>1</v>
      </c>
      <c r="H68" s="561">
        <v>1</v>
      </c>
      <c r="I68" s="561">
        <v>1</v>
      </c>
      <c r="J68" s="561">
        <v>1</v>
      </c>
      <c r="K68" s="561">
        <v>1</v>
      </c>
      <c r="L68" s="561">
        <v>1</v>
      </c>
      <c r="M68" s="561">
        <v>1</v>
      </c>
      <c r="N68" s="562">
        <v>1</v>
      </c>
      <c r="O68" s="561">
        <v>1</v>
      </c>
      <c r="P68" s="561">
        <v>1</v>
      </c>
      <c r="Q68" s="561">
        <v>1</v>
      </c>
      <c r="R68" s="561">
        <v>1</v>
      </c>
      <c r="S68" s="561">
        <v>1</v>
      </c>
      <c r="T68" s="561">
        <v>1</v>
      </c>
      <c r="U68" s="561">
        <v>1</v>
      </c>
      <c r="V68" s="561">
        <v>1</v>
      </c>
      <c r="W68" s="561">
        <v>1</v>
      </c>
      <c r="X68" s="561">
        <v>1</v>
      </c>
      <c r="Y68" s="561">
        <v>1</v>
      </c>
      <c r="Z68" s="561">
        <v>1</v>
      </c>
      <c r="AA68" s="567">
        <f>COUNTA(C68:Z68)*21</f>
        <v>504</v>
      </c>
      <c r="AB68" s="568">
        <f>COUNTA(C68:Z68)*21</f>
        <v>504</v>
      </c>
      <c r="AC68" s="563"/>
      <c r="AD68" s="563"/>
      <c r="AE68" s="563"/>
      <c r="AF68" s="564"/>
      <c r="AG68" s="565">
        <f t="shared" ref="AG68" si="43">AA68*AC68*AE68</f>
        <v>0</v>
      </c>
      <c r="AH68" s="566">
        <f>(SUM(AH4:AH65)/93)*2</f>
        <v>137144.94086021505</v>
      </c>
      <c r="AI68" s="559"/>
    </row>
    <row r="69" spans="1:36" ht="13" thickBot="1">
      <c r="A69" s="252" t="s">
        <v>326</v>
      </c>
      <c r="B69" s="142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39"/>
      <c r="AB69" s="239"/>
      <c r="AC69" s="239"/>
      <c r="AD69" s="239"/>
      <c r="AE69" s="239"/>
      <c r="AF69" s="239"/>
      <c r="AG69" s="501">
        <f>SUM(AG4:AG68)</f>
        <v>0</v>
      </c>
      <c r="AH69" s="502">
        <f>SUM(AH4:AH68)</f>
        <v>6857247.0430107526</v>
      </c>
      <c r="AI69" s="143"/>
      <c r="AJ69" s="576">
        <f>SUM(AH6:AH16,AH19:AH65)/SUM(AJ6:AJ65)</f>
        <v>623.72303060712488</v>
      </c>
    </row>
    <row r="71" spans="1:36">
      <c r="A71" s="135" t="s">
        <v>327</v>
      </c>
      <c r="B71" s="612">
        <f>(SUM(AH4:AH65)/93)*3</f>
        <v>205717.41129032258</v>
      </c>
    </row>
    <row r="72" spans="1:36" ht="16">
      <c r="AH72" s="144"/>
    </row>
    <row r="73" spans="1:36">
      <c r="A73" s="639" t="s">
        <v>328</v>
      </c>
      <c r="B73" s="826"/>
      <c r="C73" s="826"/>
      <c r="D73" s="826"/>
      <c r="E73" s="826"/>
      <c r="F73" s="826"/>
      <c r="G73" s="826"/>
      <c r="H73" s="826"/>
      <c r="I73" s="826"/>
      <c r="J73" s="826"/>
      <c r="K73" s="826"/>
      <c r="L73" s="826"/>
      <c r="M73" s="826"/>
      <c r="N73" s="826"/>
      <c r="O73" s="826"/>
      <c r="P73" s="826"/>
      <c r="Q73" s="826"/>
      <c r="R73" s="826"/>
      <c r="S73" s="826"/>
      <c r="T73" s="826"/>
      <c r="U73" s="826"/>
      <c r="V73" s="826"/>
      <c r="W73" s="826"/>
      <c r="X73" s="826"/>
      <c r="Y73" s="826"/>
      <c r="Z73" s="826"/>
    </row>
    <row r="74" spans="1:36" ht="224.5" customHeight="1">
      <c r="A74" s="640" t="s">
        <v>243</v>
      </c>
      <c r="B74" s="824" t="s">
        <v>329</v>
      </c>
      <c r="C74" s="800"/>
      <c r="D74" s="800"/>
      <c r="E74" s="800"/>
      <c r="F74" s="800"/>
      <c r="G74" s="800"/>
      <c r="H74" s="800"/>
      <c r="I74" s="800"/>
      <c r="J74" s="800"/>
      <c r="K74" s="800"/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0"/>
      <c r="Y74" s="800"/>
      <c r="Z74" s="800"/>
    </row>
    <row r="75" spans="1:36" ht="218.5" customHeight="1">
      <c r="A75" s="640" t="s">
        <v>244</v>
      </c>
      <c r="B75" s="827" t="s">
        <v>330</v>
      </c>
      <c r="C75" s="828"/>
      <c r="D75" s="828"/>
      <c r="E75" s="828"/>
      <c r="F75" s="828"/>
      <c r="G75" s="828"/>
      <c r="H75" s="828"/>
      <c r="I75" s="828"/>
      <c r="J75" s="828"/>
      <c r="K75" s="828"/>
      <c r="L75" s="828"/>
      <c r="M75" s="828"/>
      <c r="N75" s="828"/>
      <c r="O75" s="828"/>
      <c r="P75" s="828"/>
      <c r="Q75" s="828"/>
      <c r="R75" s="828"/>
      <c r="S75" s="828"/>
      <c r="T75" s="828"/>
      <c r="U75" s="828"/>
      <c r="V75" s="828"/>
      <c r="W75" s="828"/>
      <c r="X75" s="828"/>
      <c r="Y75" s="828"/>
      <c r="Z75" s="828"/>
    </row>
    <row r="76" spans="1:36" ht="199.5" customHeight="1">
      <c r="A76" s="640" t="s">
        <v>331</v>
      </c>
      <c r="B76" s="827" t="s">
        <v>332</v>
      </c>
      <c r="C76" s="828"/>
      <c r="D76" s="828"/>
      <c r="E76" s="828"/>
      <c r="F76" s="828"/>
      <c r="G76" s="828"/>
      <c r="H76" s="828"/>
      <c r="I76" s="828"/>
      <c r="J76" s="828"/>
      <c r="K76" s="828"/>
      <c r="L76" s="828"/>
      <c r="M76" s="828"/>
      <c r="N76" s="828"/>
      <c r="O76" s="828"/>
      <c r="P76" s="828"/>
      <c r="Q76" s="828"/>
      <c r="R76" s="828"/>
      <c r="S76" s="828"/>
      <c r="T76" s="828"/>
      <c r="U76" s="828"/>
      <c r="V76" s="828"/>
      <c r="W76" s="828"/>
      <c r="X76" s="828"/>
      <c r="Y76" s="828"/>
      <c r="Z76" s="828"/>
    </row>
    <row r="77" spans="1:36" ht="103" customHeight="1">
      <c r="A77" s="640" t="s">
        <v>333</v>
      </c>
      <c r="B77" s="824" t="s">
        <v>334</v>
      </c>
      <c r="C77" s="800"/>
      <c r="D77" s="800"/>
      <c r="E77" s="800"/>
      <c r="F77" s="800"/>
      <c r="G77" s="800"/>
      <c r="H77" s="800"/>
      <c r="I77" s="800"/>
      <c r="J77" s="800"/>
      <c r="K77" s="800"/>
      <c r="L77" s="800"/>
      <c r="M77" s="800"/>
      <c r="N77" s="800"/>
      <c r="O77" s="800"/>
      <c r="P77" s="800"/>
      <c r="Q77" s="800"/>
      <c r="R77" s="800"/>
      <c r="S77" s="800"/>
      <c r="T77" s="800"/>
      <c r="U77" s="800"/>
      <c r="V77" s="800"/>
      <c r="W77" s="800"/>
      <c r="X77" s="800"/>
      <c r="Y77" s="800"/>
      <c r="Z77" s="800"/>
    </row>
  </sheetData>
  <mergeCells count="10">
    <mergeCell ref="B4:B16"/>
    <mergeCell ref="B77:Z77"/>
    <mergeCell ref="B20:B27"/>
    <mergeCell ref="B29:B48"/>
    <mergeCell ref="B50:B65"/>
    <mergeCell ref="B67:B68"/>
    <mergeCell ref="B73:Z73"/>
    <mergeCell ref="B74:Z74"/>
    <mergeCell ref="B75:Z75"/>
    <mergeCell ref="B76:Z76"/>
  </mergeCells>
  <conditionalFormatting sqref="C45:S45 C39:Z42 C34:Z34 C35:S37 X35:Z37 C23:Z23 C25:Z25 C48:S48 U48:Z48 U45:Z45 C19:Z21 C4:Z4 C28:Z32 C49:Z56 C58:Z60 C66:Z68 C9:Z17">
    <cfRule type="colorScale" priority="109">
      <colorScale>
        <cfvo type="num" val="0"/>
        <cfvo type="num" val="1"/>
        <color theme="0"/>
        <color theme="2" tint="-0.249977111117893"/>
      </colorScale>
    </cfRule>
  </conditionalFormatting>
  <conditionalFormatting sqref="C26:Z26">
    <cfRule type="colorScale" priority="87">
      <colorScale>
        <cfvo type="num" val="0"/>
        <cfvo type="num" val="1"/>
        <color theme="0"/>
        <color theme="2" tint="-0.249977111117893"/>
      </colorScale>
    </cfRule>
  </conditionalFormatting>
  <conditionalFormatting sqref="C22:Z22">
    <cfRule type="colorScale" priority="85">
      <colorScale>
        <cfvo type="num" val="0"/>
        <cfvo type="num" val="1"/>
        <color theme="0"/>
        <color theme="2" tint="-0.249977111117893"/>
      </colorScale>
    </cfRule>
  </conditionalFormatting>
  <conditionalFormatting sqref="C24:Z24">
    <cfRule type="colorScale" priority="83">
      <colorScale>
        <cfvo type="num" val="0"/>
        <cfvo type="num" val="1"/>
        <color theme="0"/>
        <color theme="2" tint="-0.249977111117893"/>
      </colorScale>
    </cfRule>
  </conditionalFormatting>
  <conditionalFormatting sqref="C27:L27 N27:Z27">
    <cfRule type="colorScale" priority="81">
      <colorScale>
        <cfvo type="num" val="0"/>
        <cfvo type="num" val="1"/>
        <color theme="0"/>
        <color theme="2" tint="-0.249977111117893"/>
      </colorScale>
    </cfRule>
  </conditionalFormatting>
  <conditionalFormatting sqref="M27">
    <cfRule type="colorScale" priority="77">
      <colorScale>
        <cfvo type="num" val="0"/>
        <cfvo type="num" val="1"/>
        <color theme="0"/>
        <color theme="2" tint="-0.249977111117893"/>
      </colorScale>
    </cfRule>
  </conditionalFormatting>
  <conditionalFormatting sqref="C44:Z44">
    <cfRule type="colorScale" priority="75">
      <colorScale>
        <cfvo type="num" val="0"/>
        <cfvo type="num" val="1"/>
        <color theme="0"/>
        <color theme="2" tint="-0.249977111117893"/>
      </colorScale>
    </cfRule>
  </conditionalFormatting>
  <conditionalFormatting sqref="Y40:Z42">
    <cfRule type="colorScale" priority="70">
      <colorScale>
        <cfvo type="num" val="0"/>
        <cfvo type="num" val="1"/>
        <color theme="0"/>
        <color theme="2" tint="-0.249977111117893"/>
      </colorScale>
    </cfRule>
  </conditionalFormatting>
  <conditionalFormatting sqref="C46:L46 N46:S46 U46:Z46">
    <cfRule type="colorScale" priority="69">
      <colorScale>
        <cfvo type="num" val="0"/>
        <cfvo type="num" val="1"/>
        <color theme="0"/>
        <color theme="2" tint="-0.249977111117893"/>
      </colorScale>
    </cfRule>
  </conditionalFormatting>
  <conditionalFormatting sqref="M46">
    <cfRule type="colorScale" priority="65">
      <colorScale>
        <cfvo type="num" val="0"/>
        <cfvo type="num" val="1"/>
        <color theme="0"/>
        <color theme="2" tint="-0.249977111117893"/>
      </colorScale>
    </cfRule>
  </conditionalFormatting>
  <conditionalFormatting sqref="C47:S47 U47:Z47">
    <cfRule type="colorScale" priority="64">
      <colorScale>
        <cfvo type="num" val="0"/>
        <cfvo type="num" val="1"/>
        <color theme="0"/>
        <color theme="2" tint="-0.249977111117893"/>
      </colorScale>
    </cfRule>
  </conditionalFormatting>
  <conditionalFormatting sqref="C62:Z62">
    <cfRule type="colorScale" priority="60">
      <colorScale>
        <cfvo type="num" val="0"/>
        <cfvo type="num" val="1"/>
        <color theme="0"/>
        <color theme="2" tint="-0.249977111117893"/>
      </colorScale>
    </cfRule>
  </conditionalFormatting>
  <conditionalFormatting sqref="C63:L63 N63:Z63">
    <cfRule type="colorScale" priority="54">
      <colorScale>
        <cfvo type="num" val="0"/>
        <cfvo type="num" val="1"/>
        <color theme="0"/>
        <color theme="2" tint="-0.249977111117893"/>
      </colorScale>
    </cfRule>
  </conditionalFormatting>
  <conditionalFormatting sqref="M63">
    <cfRule type="colorScale" priority="51">
      <colorScale>
        <cfvo type="num" val="0"/>
        <cfvo type="num" val="1"/>
        <color theme="0"/>
        <color theme="2" tint="-0.249977111117893"/>
      </colorScale>
    </cfRule>
  </conditionalFormatting>
  <conditionalFormatting sqref="C64:Z64">
    <cfRule type="colorScale" priority="41">
      <colorScale>
        <cfvo type="num" val="0"/>
        <cfvo type="num" val="1"/>
        <color theme="0"/>
        <color theme="2" tint="-0.249977111117893"/>
      </colorScale>
    </cfRule>
  </conditionalFormatting>
  <conditionalFormatting sqref="C43:L43 N43:Q43 T43:Z43">
    <cfRule type="colorScale" priority="37">
      <colorScale>
        <cfvo type="num" val="0"/>
        <cfvo type="num" val="1"/>
        <color theme="0"/>
        <color theme="2" tint="-0.249977111117893"/>
      </colorScale>
    </cfRule>
  </conditionalFormatting>
  <conditionalFormatting sqref="M43">
    <cfRule type="colorScale" priority="36">
      <colorScale>
        <cfvo type="num" val="0"/>
        <cfvo type="num" val="1"/>
        <color theme="0"/>
        <color theme="2" tint="-0.249977111117893"/>
      </colorScale>
    </cfRule>
  </conditionalFormatting>
  <conditionalFormatting sqref="C38:L38 N38:S38 X38:Z38">
    <cfRule type="colorScale" priority="35">
      <colorScale>
        <cfvo type="num" val="0"/>
        <cfvo type="num" val="1"/>
        <color theme="0"/>
        <color theme="2" tint="-0.249977111117893"/>
      </colorScale>
    </cfRule>
  </conditionalFormatting>
  <conditionalFormatting sqref="M38">
    <cfRule type="colorScale" priority="34">
      <colorScale>
        <cfvo type="num" val="0"/>
        <cfvo type="num" val="1"/>
        <color theme="0"/>
        <color theme="2" tint="-0.249977111117893"/>
      </colorScale>
    </cfRule>
  </conditionalFormatting>
  <conditionalFormatting sqref="C33:L33 N33:V33 X33:Z33">
    <cfRule type="colorScale" priority="33">
      <colorScale>
        <cfvo type="num" val="0"/>
        <cfvo type="num" val="1"/>
        <color theme="0"/>
        <color theme="2" tint="-0.249977111117893"/>
      </colorScale>
    </cfRule>
  </conditionalFormatting>
  <conditionalFormatting sqref="M33">
    <cfRule type="colorScale" priority="32">
      <colorScale>
        <cfvo type="num" val="0"/>
        <cfvo type="num" val="1"/>
        <color theme="0"/>
        <color theme="2" tint="-0.249977111117893"/>
      </colorScale>
    </cfRule>
  </conditionalFormatting>
  <conditionalFormatting sqref="U38:W38">
    <cfRule type="colorScale" priority="24">
      <colorScale>
        <cfvo type="num" val="0"/>
        <cfvo type="num" val="1"/>
        <color theme="0"/>
        <color theme="2" tint="-0.249977111117893"/>
      </colorScale>
    </cfRule>
  </conditionalFormatting>
  <conditionalFormatting sqref="T35:W37">
    <cfRule type="colorScale" priority="26">
      <colorScale>
        <cfvo type="num" val="0"/>
        <cfvo type="num" val="1"/>
        <color theme="0"/>
        <color theme="2" tint="-0.249977111117893"/>
      </colorScale>
    </cfRule>
  </conditionalFormatting>
  <conditionalFormatting sqref="C57:Z57">
    <cfRule type="colorScale" priority="21">
      <colorScale>
        <cfvo type="num" val="0"/>
        <cfvo type="num" val="1"/>
        <color theme="0"/>
        <color theme="2" tint="-0.249977111117893"/>
      </colorScale>
    </cfRule>
  </conditionalFormatting>
  <conditionalFormatting sqref="C65:Z65">
    <cfRule type="colorScale" priority="20">
      <colorScale>
        <cfvo type="num" val="0"/>
        <cfvo type="num" val="1"/>
        <color theme="0"/>
        <color theme="2" tint="-0.249977111117893"/>
      </colorScale>
    </cfRule>
  </conditionalFormatting>
  <conditionalFormatting sqref="C61:Z61">
    <cfRule type="colorScale" priority="19">
      <colorScale>
        <cfvo type="num" val="0"/>
        <cfvo type="num" val="1"/>
        <color theme="0"/>
        <color theme="2" tint="-0.249977111117893"/>
      </colorScale>
    </cfRule>
  </conditionalFormatting>
  <conditionalFormatting sqref="W33">
    <cfRule type="colorScale" priority="18">
      <colorScale>
        <cfvo type="num" val="0"/>
        <cfvo type="num" val="1"/>
        <color theme="0"/>
        <color theme="2" tint="-0.249977111117893"/>
      </colorScale>
    </cfRule>
  </conditionalFormatting>
  <conditionalFormatting sqref="T38">
    <cfRule type="colorScale" priority="17">
      <colorScale>
        <cfvo type="num" val="0"/>
        <cfvo type="num" val="1"/>
        <color theme="0"/>
        <color theme="2" tint="-0.249977111117893"/>
      </colorScale>
    </cfRule>
  </conditionalFormatting>
  <conditionalFormatting sqref="R43:S43">
    <cfRule type="colorScale" priority="16">
      <colorScale>
        <cfvo type="num" val="0"/>
        <cfvo type="num" val="1"/>
        <color theme="0"/>
        <color theme="2" tint="-0.249977111117893"/>
      </colorScale>
    </cfRule>
  </conditionalFormatting>
  <conditionalFormatting sqref="T45:T48">
    <cfRule type="colorScale" priority="15">
      <colorScale>
        <cfvo type="num" val="0"/>
        <cfvo type="num" val="1"/>
        <color theme="0"/>
        <color theme="2" tint="-0.249977111117893"/>
      </colorScale>
    </cfRule>
  </conditionalFormatting>
  <conditionalFormatting sqref="O18:Z18 C18:K18">
    <cfRule type="colorScale" priority="14">
      <colorScale>
        <cfvo type="num" val="0"/>
        <cfvo type="num" val="1"/>
        <color theme="0"/>
        <color theme="2" tint="-0.249977111117893"/>
      </colorScale>
    </cfRule>
  </conditionalFormatting>
  <conditionalFormatting sqref="C8:M8 C7:G7 C5:Z5 C6:M6 R6:Z6 R7:V7">
    <cfRule type="colorScale" priority="13">
      <colorScale>
        <cfvo type="num" val="0"/>
        <cfvo type="num" val="1"/>
        <color theme="0"/>
        <color theme="2" tint="-0.249977111117893"/>
      </colorScale>
    </cfRule>
  </conditionalFormatting>
  <conditionalFormatting sqref="K7:M7">
    <cfRule type="colorScale" priority="12">
      <colorScale>
        <cfvo type="num" val="0"/>
        <cfvo type="num" val="1"/>
        <color theme="0"/>
        <color theme="2" tint="-0.249977111117893"/>
      </colorScale>
    </cfRule>
  </conditionalFormatting>
  <conditionalFormatting sqref="O8:Q8">
    <cfRule type="colorScale" priority="11">
      <colorScale>
        <cfvo type="num" val="0"/>
        <cfvo type="num" val="1"/>
        <color theme="0"/>
        <color theme="2" tint="-0.249977111117893"/>
      </colorScale>
    </cfRule>
  </conditionalFormatting>
  <conditionalFormatting sqref="O6:Q6">
    <cfRule type="colorScale" priority="10">
      <colorScale>
        <cfvo type="num" val="0"/>
        <cfvo type="num" val="1"/>
        <color theme="0"/>
        <color theme="2" tint="-0.249977111117893"/>
      </colorScale>
    </cfRule>
  </conditionalFormatting>
  <conditionalFormatting sqref="N6:N8">
    <cfRule type="colorScale" priority="9">
      <colorScale>
        <cfvo type="num" val="0"/>
        <cfvo type="num" val="1"/>
        <color theme="0"/>
        <color theme="2" tint="-0.249977111117893"/>
      </colorScale>
    </cfRule>
  </conditionalFormatting>
  <conditionalFormatting sqref="H7:J7">
    <cfRule type="colorScale" priority="8">
      <colorScale>
        <cfvo type="num" val="0"/>
        <cfvo type="num" val="1"/>
        <color theme="0"/>
        <color theme="2" tint="-0.249977111117893"/>
      </colorScale>
    </cfRule>
  </conditionalFormatting>
  <conditionalFormatting sqref="O7:Q7">
    <cfRule type="colorScale" priority="7">
      <colorScale>
        <cfvo type="num" val="0"/>
        <cfvo type="num" val="1"/>
        <color theme="0"/>
        <color theme="2" tint="-0.249977111117893"/>
      </colorScale>
    </cfRule>
  </conditionalFormatting>
  <conditionalFormatting sqref="W7:Y7">
    <cfRule type="colorScale" priority="6">
      <colorScale>
        <cfvo type="num" val="0"/>
        <cfvo type="num" val="1"/>
        <color theme="0"/>
        <color theme="2" tint="-0.249977111117893"/>
      </colorScale>
    </cfRule>
  </conditionalFormatting>
  <conditionalFormatting sqref="Z7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R8:Z8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M18:N18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conditionalFormatting sqref="L1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pageMargins left="0.7" right="0.7" top="0.75" bottom="0.75" header="0.3" footer="0.3"/>
  <pageSetup paperSize="9" scale="38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CC"/>
  </sheetPr>
  <dimension ref="A1:F29"/>
  <sheetViews>
    <sheetView zoomScaleNormal="100" zoomScaleSheetLayoutView="100" workbookViewId="0">
      <selection activeCell="D5" sqref="D5"/>
    </sheetView>
  </sheetViews>
  <sheetFormatPr baseColWidth="10" defaultColWidth="8.83203125" defaultRowHeight="15"/>
  <cols>
    <col min="1" max="1" width="51.5" customWidth="1"/>
    <col min="2" max="2" width="13.5" bestFit="1" customWidth="1"/>
    <col min="4" max="4" width="18.33203125" bestFit="1" customWidth="1"/>
    <col min="5" max="5" width="16" bestFit="1" customWidth="1"/>
    <col min="6" max="6" width="48.83203125" customWidth="1"/>
  </cols>
  <sheetData>
    <row r="1" spans="1:6" ht="16" thickBot="1"/>
    <row r="2" spans="1:6" ht="16" thickBot="1">
      <c r="A2" s="644" t="s">
        <v>335</v>
      </c>
      <c r="B2" s="644" t="s">
        <v>336</v>
      </c>
      <c r="C2" s="644" t="s">
        <v>337</v>
      </c>
      <c r="D2" s="645" t="s">
        <v>338</v>
      </c>
      <c r="E2" s="645" t="s">
        <v>339</v>
      </c>
      <c r="F2" s="644" t="s">
        <v>340</v>
      </c>
    </row>
    <row r="3" spans="1:6">
      <c r="A3" s="478" t="s">
        <v>341</v>
      </c>
      <c r="B3" s="480" t="s">
        <v>342</v>
      </c>
      <c r="C3" s="480">
        <v>1</v>
      </c>
      <c r="D3" s="482">
        <f>'MDM 1lic-1rok'!B4+'MDM 1lic-1rok'!B5+'MDM 1lic-1rok'!B6+'MDM 1lic-1rok'!B9+'MDM 1lic-1rok'!B10</f>
        <v>127000</v>
      </c>
      <c r="E3" s="646">
        <f>D3*C3</f>
        <v>127000</v>
      </c>
      <c r="F3" s="479" t="s">
        <v>343</v>
      </c>
    </row>
    <row r="4" spans="1:6">
      <c r="A4" s="478" t="s">
        <v>344</v>
      </c>
      <c r="B4" s="480" t="s">
        <v>342</v>
      </c>
      <c r="C4" s="480">
        <v>2</v>
      </c>
      <c r="D4" s="482">
        <f>'MDM 1lic-1rok'!B4+'MDM 1lic-1rok'!B7+'MDM 1lic-1rok'!B8+'MDM 1lic-1rok'!B9+'MDM 1lic-1rok'!B10</f>
        <v>109500</v>
      </c>
      <c r="E4" s="646">
        <f>D4*C4</f>
        <v>219000</v>
      </c>
      <c r="F4" s="479" t="s">
        <v>343</v>
      </c>
    </row>
    <row r="5" spans="1:6">
      <c r="A5" s="251" t="s">
        <v>345</v>
      </c>
      <c r="B5" s="481" t="s">
        <v>346</v>
      </c>
      <c r="C5" s="481">
        <v>1</v>
      </c>
      <c r="D5" s="483">
        <f>BPM!H3</f>
        <v>378678.75</v>
      </c>
      <c r="E5" s="646">
        <f>C5*D5</f>
        <v>378678.75</v>
      </c>
      <c r="F5" s="477" t="s">
        <v>347</v>
      </c>
    </row>
    <row r="6" spans="1:6">
      <c r="A6" s="251" t="s">
        <v>348</v>
      </c>
      <c r="B6" s="481" t="s">
        <v>342</v>
      </c>
      <c r="C6" s="481">
        <v>1</v>
      </c>
      <c r="D6" s="483">
        <f>BPM!H4</f>
        <v>134625</v>
      </c>
      <c r="E6" s="646">
        <f>C6*D6</f>
        <v>134625</v>
      </c>
      <c r="F6" s="477" t="s">
        <v>347</v>
      </c>
    </row>
    <row r="7" spans="1:6">
      <c r="A7" s="251" t="s">
        <v>349</v>
      </c>
      <c r="B7" s="481" t="s">
        <v>350</v>
      </c>
      <c r="C7" s="481">
        <v>10</v>
      </c>
      <c r="D7" s="483">
        <v>42400</v>
      </c>
      <c r="E7" s="646">
        <f>C7*D7</f>
        <v>424000</v>
      </c>
      <c r="F7" s="477" t="s">
        <v>351</v>
      </c>
    </row>
    <row r="8" spans="1:6">
      <c r="A8" s="251"/>
      <c r="B8" s="481"/>
      <c r="C8" s="481"/>
      <c r="D8" s="483"/>
      <c r="E8" s="646">
        <f t="shared" ref="E8:E29" si="0">D8*C8</f>
        <v>0</v>
      </c>
      <c r="F8" s="477"/>
    </row>
    <row r="9" spans="1:6">
      <c r="A9" s="251"/>
      <c r="B9" s="481"/>
      <c r="C9" s="481"/>
      <c r="D9" s="483"/>
      <c r="E9" s="646">
        <f t="shared" si="0"/>
        <v>0</v>
      </c>
      <c r="F9" s="477"/>
    </row>
    <row r="10" spans="1:6">
      <c r="A10" s="251"/>
      <c r="B10" s="481"/>
      <c r="C10" s="481"/>
      <c r="D10" s="483"/>
      <c r="E10" s="646">
        <f t="shared" si="0"/>
        <v>0</v>
      </c>
      <c r="F10" s="477"/>
    </row>
    <row r="11" spans="1:6">
      <c r="A11" s="251"/>
      <c r="B11" s="481"/>
      <c r="C11" s="481"/>
      <c r="D11" s="483"/>
      <c r="E11" s="646">
        <f t="shared" si="0"/>
        <v>0</v>
      </c>
      <c r="F11" s="477"/>
    </row>
    <row r="12" spans="1:6">
      <c r="A12" s="251"/>
      <c r="B12" s="481"/>
      <c r="C12" s="481"/>
      <c r="D12" s="483"/>
      <c r="E12" s="646">
        <f t="shared" si="0"/>
        <v>0</v>
      </c>
      <c r="F12" s="477"/>
    </row>
    <row r="13" spans="1:6">
      <c r="A13" s="251"/>
      <c r="B13" s="481"/>
      <c r="C13" s="481"/>
      <c r="D13" s="483"/>
      <c r="E13" s="646">
        <f t="shared" si="0"/>
        <v>0</v>
      </c>
      <c r="F13" s="477"/>
    </row>
    <row r="14" spans="1:6">
      <c r="A14" s="251"/>
      <c r="B14" s="481"/>
      <c r="C14" s="481"/>
      <c r="D14" s="483"/>
      <c r="E14" s="646">
        <f t="shared" si="0"/>
        <v>0</v>
      </c>
      <c r="F14" s="477"/>
    </row>
    <row r="15" spans="1:6">
      <c r="A15" s="251"/>
      <c r="B15" s="481"/>
      <c r="C15" s="481"/>
      <c r="D15" s="483"/>
      <c r="E15" s="646">
        <f t="shared" si="0"/>
        <v>0</v>
      </c>
      <c r="F15" s="477"/>
    </row>
    <row r="16" spans="1:6">
      <c r="A16" s="251"/>
      <c r="B16" s="481"/>
      <c r="C16" s="481"/>
      <c r="D16" s="483"/>
      <c r="E16" s="646">
        <f t="shared" si="0"/>
        <v>0</v>
      </c>
      <c r="F16" s="477"/>
    </row>
    <row r="17" spans="1:6">
      <c r="A17" s="251"/>
      <c r="B17" s="481"/>
      <c r="C17" s="481"/>
      <c r="D17" s="483"/>
      <c r="E17" s="646">
        <f t="shared" si="0"/>
        <v>0</v>
      </c>
      <c r="F17" s="477"/>
    </row>
    <row r="18" spans="1:6">
      <c r="A18" s="251"/>
      <c r="B18" s="481"/>
      <c r="C18" s="481"/>
      <c r="D18" s="483"/>
      <c r="E18" s="646">
        <f t="shared" si="0"/>
        <v>0</v>
      </c>
      <c r="F18" s="477"/>
    </row>
    <row r="19" spans="1:6">
      <c r="A19" s="251"/>
      <c r="B19" s="481"/>
      <c r="C19" s="481"/>
      <c r="D19" s="483"/>
      <c r="E19" s="646">
        <f t="shared" si="0"/>
        <v>0</v>
      </c>
      <c r="F19" s="477"/>
    </row>
    <row r="20" spans="1:6">
      <c r="A20" s="251"/>
      <c r="B20" s="481"/>
      <c r="C20" s="481"/>
      <c r="D20" s="483"/>
      <c r="E20" s="646">
        <f t="shared" si="0"/>
        <v>0</v>
      </c>
      <c r="F20" s="477"/>
    </row>
    <row r="21" spans="1:6">
      <c r="A21" s="251"/>
      <c r="B21" s="481"/>
      <c r="C21" s="481"/>
      <c r="D21" s="483"/>
      <c r="E21" s="646">
        <f t="shared" si="0"/>
        <v>0</v>
      </c>
      <c r="F21" s="477"/>
    </row>
    <row r="22" spans="1:6">
      <c r="A22" s="251"/>
      <c r="B22" s="481"/>
      <c r="C22" s="481"/>
      <c r="D22" s="483"/>
      <c r="E22" s="646">
        <f t="shared" si="0"/>
        <v>0</v>
      </c>
      <c r="F22" s="477"/>
    </row>
    <row r="23" spans="1:6">
      <c r="A23" s="251"/>
      <c r="B23" s="481"/>
      <c r="C23" s="481"/>
      <c r="D23" s="483"/>
      <c r="E23" s="646">
        <f t="shared" si="0"/>
        <v>0</v>
      </c>
      <c r="F23" s="477"/>
    </row>
    <row r="24" spans="1:6">
      <c r="A24" s="251"/>
      <c r="B24" s="481"/>
      <c r="C24" s="481"/>
      <c r="D24" s="483"/>
      <c r="E24" s="646">
        <f t="shared" si="0"/>
        <v>0</v>
      </c>
      <c r="F24" s="477"/>
    </row>
    <row r="25" spans="1:6">
      <c r="A25" s="251"/>
      <c r="B25" s="481"/>
      <c r="C25" s="481"/>
      <c r="D25" s="483"/>
      <c r="E25" s="646">
        <f t="shared" si="0"/>
        <v>0</v>
      </c>
      <c r="F25" s="477"/>
    </row>
    <row r="26" spans="1:6">
      <c r="A26" s="251"/>
      <c r="B26" s="481"/>
      <c r="C26" s="481"/>
      <c r="D26" s="483"/>
      <c r="E26" s="646">
        <f t="shared" si="0"/>
        <v>0</v>
      </c>
      <c r="F26" s="477"/>
    </row>
    <row r="27" spans="1:6">
      <c r="A27" s="251"/>
      <c r="B27" s="481"/>
      <c r="C27" s="481"/>
      <c r="D27" s="483"/>
      <c r="E27" s="646">
        <f t="shared" si="0"/>
        <v>0</v>
      </c>
      <c r="F27" s="477"/>
    </row>
    <row r="28" spans="1:6">
      <c r="A28" s="251"/>
      <c r="B28" s="481"/>
      <c r="C28" s="481"/>
      <c r="D28" s="483"/>
      <c r="E28" s="646">
        <f t="shared" si="0"/>
        <v>0</v>
      </c>
      <c r="F28" s="477"/>
    </row>
    <row r="29" spans="1:6">
      <c r="A29" s="251"/>
      <c r="B29" s="481"/>
      <c r="C29" s="481"/>
      <c r="D29" s="483"/>
      <c r="E29" s="646">
        <f t="shared" si="0"/>
        <v>0</v>
      </c>
      <c r="F29" s="477"/>
    </row>
  </sheetData>
  <pageMargins left="0.7" right="0.7" top="0.75" bottom="0.75" header="0.3" footer="0.3"/>
  <pageSetup paperSize="9" scale="5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CAE5E-50E1-C34D-97D3-A0C6DB291055}">
  <sheetPr>
    <tabColor rgb="FFFFFFCC"/>
  </sheetPr>
  <dimension ref="A1:AJ60"/>
  <sheetViews>
    <sheetView workbookViewId="0"/>
  </sheetViews>
  <sheetFormatPr baseColWidth="10" defaultColWidth="11.5" defaultRowHeight="14"/>
  <cols>
    <col min="1" max="1" width="24.1640625" style="590" bestFit="1" customWidth="1"/>
    <col min="2" max="7" width="12.5" style="590" customWidth="1"/>
    <col min="8" max="8" width="12.5" style="590" bestFit="1" customWidth="1"/>
    <col min="9" max="35" width="11.5" style="590"/>
    <col min="36" max="36" width="12.5" style="590" bestFit="1" customWidth="1"/>
    <col min="37" max="16384" width="11.5" style="590"/>
  </cols>
  <sheetData>
    <row r="1" spans="1:36">
      <c r="A1" s="588" t="s">
        <v>352</v>
      </c>
      <c r="B1" s="589" t="s">
        <v>353</v>
      </c>
      <c r="C1" s="589" t="s">
        <v>354</v>
      </c>
      <c r="D1" s="829" t="s">
        <v>355</v>
      </c>
      <c r="E1" s="830"/>
      <c r="F1" s="831"/>
      <c r="G1" s="589" t="s">
        <v>356</v>
      </c>
      <c r="H1" s="832" t="s">
        <v>357</v>
      </c>
    </row>
    <row r="2" spans="1:36">
      <c r="A2" s="591"/>
      <c r="B2" s="592"/>
      <c r="C2" s="592"/>
      <c r="D2" s="593" t="s">
        <v>358</v>
      </c>
      <c r="E2" s="594" t="s">
        <v>359</v>
      </c>
      <c r="F2" s="595" t="s">
        <v>360</v>
      </c>
      <c r="G2" s="592"/>
      <c r="H2" s="833"/>
    </row>
    <row r="3" spans="1:36" ht="15" thickBot="1">
      <c r="A3" s="596" t="s">
        <v>361</v>
      </c>
      <c r="B3" s="597">
        <v>0</v>
      </c>
      <c r="C3" s="597">
        <v>414715</v>
      </c>
      <c r="D3" s="597">
        <v>0</v>
      </c>
      <c r="E3" s="597">
        <v>0</v>
      </c>
      <c r="F3" s="597">
        <v>0</v>
      </c>
      <c r="G3" s="597">
        <v>1100000</v>
      </c>
      <c r="H3" s="598">
        <f>AVERAGE(B3,C3,F3,G3)</f>
        <v>378678.75</v>
      </c>
    </row>
    <row r="4" spans="1:36" ht="15">
      <c r="A4" s="599" t="s">
        <v>362</v>
      </c>
      <c r="B4" s="600">
        <f>11000*16</f>
        <v>176000</v>
      </c>
      <c r="C4" s="600">
        <v>0</v>
      </c>
      <c r="D4" s="600">
        <v>10560</v>
      </c>
      <c r="E4" s="600">
        <v>15840</v>
      </c>
      <c r="F4" s="600">
        <f>E4*2</f>
        <v>31680</v>
      </c>
      <c r="G4" s="600">
        <v>0</v>
      </c>
      <c r="H4" s="834">
        <f>AVERAGE(B4,C5,F4,G5)</f>
        <v>134625</v>
      </c>
    </row>
    <row r="5" spans="1:36" ht="15" thickBot="1">
      <c r="A5" s="601" t="s">
        <v>363</v>
      </c>
      <c r="B5" s="602">
        <v>0</v>
      </c>
      <c r="C5" s="602">
        <v>110820</v>
      </c>
      <c r="D5" s="602">
        <v>0</v>
      </c>
      <c r="E5" s="602">
        <v>0</v>
      </c>
      <c r="F5" s="602">
        <v>0</v>
      </c>
      <c r="G5" s="602">
        <v>220000</v>
      </c>
      <c r="H5" s="835"/>
    </row>
    <row r="6" spans="1:36">
      <c r="A6" s="603" t="s">
        <v>364</v>
      </c>
      <c r="B6" s="604" t="s">
        <v>365</v>
      </c>
      <c r="C6" s="604" t="s">
        <v>365</v>
      </c>
      <c r="D6" s="604" t="s">
        <v>365</v>
      </c>
      <c r="E6" s="604" t="s">
        <v>365</v>
      </c>
      <c r="F6" s="604" t="s">
        <v>365</v>
      </c>
      <c r="G6" s="604" t="s">
        <v>365</v>
      </c>
      <c r="H6" s="605" t="s">
        <v>84</v>
      </c>
      <c r="AJ6" s="606">
        <f>BPM!H3</f>
        <v>378678.75</v>
      </c>
    </row>
    <row r="7" spans="1:36">
      <c r="A7" s="607" t="s">
        <v>366</v>
      </c>
      <c r="B7" s="608" t="s">
        <v>365</v>
      </c>
      <c r="C7" s="608" t="s">
        <v>367</v>
      </c>
      <c r="D7" s="608" t="s">
        <v>365</v>
      </c>
      <c r="E7" s="608" t="s">
        <v>365</v>
      </c>
      <c r="F7" s="608" t="s">
        <v>365</v>
      </c>
      <c r="G7" s="608" t="s">
        <v>367</v>
      </c>
      <c r="H7" s="605" t="s">
        <v>84</v>
      </c>
    </row>
    <row r="8" spans="1:36" ht="15" thickBot="1">
      <c r="A8" s="601" t="s">
        <v>368</v>
      </c>
      <c r="B8" s="609"/>
      <c r="C8" s="609"/>
      <c r="D8" s="609" t="s">
        <v>365</v>
      </c>
      <c r="E8" s="609" t="s">
        <v>365</v>
      </c>
      <c r="F8" s="609" t="s">
        <v>365</v>
      </c>
      <c r="G8" s="609"/>
      <c r="H8" s="610" t="s">
        <v>84</v>
      </c>
    </row>
    <row r="60" spans="8:8">
      <c r="H60" s="606">
        <f>BPM!H4</f>
        <v>134625</v>
      </c>
    </row>
  </sheetData>
  <mergeCells count="3">
    <mergeCell ref="D1:F1"/>
    <mergeCell ref="H1:H2"/>
    <mergeCell ref="H4:H5"/>
  </mergeCells>
  <hyperlinks>
    <hyperlink ref="D1:F1" r:id="rId1" display="Red Hat Jboss BPM" xr:uid="{64230FB3-80FF-7B4D-B4BA-1A2CCCAB469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070B-D1B7-D143-A3D2-52B94F2249D4}">
  <dimension ref="A1:M19"/>
  <sheetViews>
    <sheetView topLeftCell="A3" workbookViewId="0">
      <selection activeCell="D2" sqref="D2:D13"/>
    </sheetView>
  </sheetViews>
  <sheetFormatPr baseColWidth="10" defaultColWidth="8.83203125" defaultRowHeight="15"/>
  <cols>
    <col min="1" max="1" width="69.5" customWidth="1"/>
    <col min="2" max="2" width="20.1640625" customWidth="1"/>
  </cols>
  <sheetData>
    <row r="1" spans="1:13" ht="23.25" customHeight="1">
      <c r="A1" s="836" t="s">
        <v>369</v>
      </c>
      <c r="B1" s="578" t="s">
        <v>370</v>
      </c>
      <c r="D1" s="647"/>
    </row>
    <row r="2" spans="1:13" ht="23.25" customHeight="1">
      <c r="A2" s="837"/>
      <c r="B2" s="579" t="s">
        <v>371</v>
      </c>
      <c r="D2" s="647" t="s">
        <v>372</v>
      </c>
    </row>
    <row r="3" spans="1:13" ht="23.25" customHeight="1">
      <c r="A3" s="582" t="s">
        <v>373</v>
      </c>
      <c r="B3" s="583">
        <v>49500</v>
      </c>
      <c r="D3" s="647" t="s">
        <v>374</v>
      </c>
    </row>
    <row r="4" spans="1:13" ht="20">
      <c r="A4" s="580" t="s">
        <v>375</v>
      </c>
      <c r="B4" s="581">
        <v>69500</v>
      </c>
      <c r="D4" s="647" t="s">
        <v>376</v>
      </c>
    </row>
    <row r="5" spans="1:13" ht="37">
      <c r="A5" s="582" t="s">
        <v>377</v>
      </c>
      <c r="B5" s="583">
        <v>25000</v>
      </c>
      <c r="D5" s="647" t="s">
        <v>378</v>
      </c>
      <c r="M5" s="647"/>
    </row>
    <row r="6" spans="1:13" ht="37">
      <c r="A6" s="580" t="s">
        <v>379</v>
      </c>
      <c r="B6" s="581">
        <v>10000</v>
      </c>
      <c r="D6" s="647" t="s">
        <v>380</v>
      </c>
      <c r="M6" s="647"/>
    </row>
    <row r="7" spans="1:13" ht="37">
      <c r="A7" s="582" t="s">
        <v>381</v>
      </c>
      <c r="B7" s="583">
        <v>12500</v>
      </c>
      <c r="D7" s="647" t="s">
        <v>376</v>
      </c>
      <c r="M7" s="647"/>
    </row>
    <row r="8" spans="1:13" ht="37">
      <c r="A8" s="580" t="s">
        <v>382</v>
      </c>
      <c r="B8" s="581">
        <v>5000</v>
      </c>
      <c r="D8" s="647" t="s">
        <v>383</v>
      </c>
      <c r="M8" s="647"/>
    </row>
    <row r="9" spans="1:13" ht="20">
      <c r="A9" s="582" t="s">
        <v>384</v>
      </c>
      <c r="B9" s="583">
        <v>9000</v>
      </c>
      <c r="D9" s="647" t="s">
        <v>385</v>
      </c>
      <c r="M9" s="647"/>
    </row>
    <row r="10" spans="1:13" ht="20">
      <c r="A10" s="580" t="s">
        <v>386</v>
      </c>
      <c r="B10" s="581">
        <v>13500</v>
      </c>
      <c r="D10" s="647" t="s">
        <v>376</v>
      </c>
      <c r="M10" s="647"/>
    </row>
    <row r="11" spans="1:13" ht="19">
      <c r="A11" s="582"/>
      <c r="B11" s="583"/>
      <c r="D11" s="647" t="s">
        <v>387</v>
      </c>
      <c r="M11" s="647"/>
    </row>
    <row r="12" spans="1:13" ht="19">
      <c r="A12" s="580"/>
      <c r="B12" s="581"/>
      <c r="D12" s="647" t="s">
        <v>376</v>
      </c>
      <c r="M12" s="647"/>
    </row>
    <row r="13" spans="1:13" ht="19">
      <c r="A13" s="582"/>
      <c r="B13" s="583"/>
      <c r="D13" s="647" t="s">
        <v>388</v>
      </c>
      <c r="M13" s="647"/>
    </row>
    <row r="14" spans="1:13" ht="19">
      <c r="A14" s="580"/>
      <c r="B14" s="581"/>
      <c r="D14" s="647"/>
      <c r="M14" s="647"/>
    </row>
    <row r="15" spans="1:13" ht="20">
      <c r="A15" s="582" t="s">
        <v>389</v>
      </c>
      <c r="B15" s="583">
        <v>45000</v>
      </c>
      <c r="D15" s="647"/>
      <c r="M15" s="647"/>
    </row>
    <row r="16" spans="1:13" ht="23">
      <c r="A16" s="584" t="s">
        <v>125</v>
      </c>
      <c r="B16" s="585"/>
      <c r="D16" s="647"/>
      <c r="M16" s="647"/>
    </row>
    <row r="17" spans="1:4" ht="20.5" customHeight="1">
      <c r="A17" s="586" t="s">
        <v>390</v>
      </c>
      <c r="B17" s="587"/>
      <c r="D17" s="647"/>
    </row>
    <row r="18" spans="1:4">
      <c r="D18" s="647"/>
    </row>
    <row r="19" spans="1:4">
      <c r="D19" s="647"/>
    </row>
  </sheetData>
  <mergeCells count="1">
    <mergeCell ref="A1:A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CC"/>
  </sheetPr>
  <dimension ref="A1:AQ52"/>
  <sheetViews>
    <sheetView zoomScaleNormal="100" workbookViewId="0">
      <selection activeCell="B24" sqref="B24"/>
    </sheetView>
  </sheetViews>
  <sheetFormatPr baseColWidth="10" defaultColWidth="8.6640625" defaultRowHeight="12"/>
  <cols>
    <col min="1" max="1" width="36.33203125" style="135" customWidth="1"/>
    <col min="2" max="2" width="76.6640625" style="135" customWidth="1"/>
    <col min="3" max="3" width="3.33203125" style="135" customWidth="1"/>
    <col min="4" max="24" width="3.6640625" style="135" customWidth="1"/>
    <col min="25" max="25" width="4.5" style="135" customWidth="1"/>
    <col min="26" max="28" width="16.5" style="135" customWidth="1"/>
    <col min="29" max="29" width="18.1640625" style="135" customWidth="1"/>
    <col min="30" max="30" width="9" style="135" customWidth="1"/>
    <col min="31" max="31" width="9.1640625" style="135" customWidth="1"/>
    <col min="32" max="32" width="9" style="135" customWidth="1"/>
    <col min="33" max="33" width="15.33203125" style="136" customWidth="1"/>
    <col min="34" max="34" width="15.1640625" style="135" customWidth="1"/>
    <col min="35" max="36" width="10.6640625" style="135" customWidth="1"/>
    <col min="37" max="37" width="52.1640625" style="135" customWidth="1"/>
    <col min="38" max="38" width="51.6640625" style="135" customWidth="1"/>
    <col min="39" max="42" width="8.6640625" style="135"/>
    <col min="43" max="43" width="18.83203125" style="135" customWidth="1"/>
    <col min="44" max="16384" width="8.6640625" style="135"/>
  </cols>
  <sheetData>
    <row r="1" spans="1:43" ht="29">
      <c r="A1" s="839" t="s">
        <v>523</v>
      </c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839"/>
      <c r="O1" s="839"/>
      <c r="P1" s="839"/>
      <c r="Q1" s="839"/>
      <c r="R1" s="839"/>
      <c r="S1" s="839"/>
      <c r="T1" s="839"/>
      <c r="U1" s="839"/>
      <c r="V1" s="839"/>
      <c r="W1" s="839"/>
      <c r="X1" s="839"/>
      <c r="Y1" s="839"/>
    </row>
    <row r="2" spans="1:43" ht="22" thickBot="1">
      <c r="A2" s="840" t="s">
        <v>391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  <c r="Q2" s="840"/>
      <c r="R2" s="840"/>
      <c r="S2" s="840"/>
      <c r="T2" s="840"/>
      <c r="U2" s="840"/>
      <c r="V2" s="840"/>
      <c r="W2" s="840"/>
      <c r="X2" s="840"/>
      <c r="Y2" s="840"/>
      <c r="Z2" s="658"/>
      <c r="AA2" s="658"/>
      <c r="AB2" s="658"/>
      <c r="AC2" s="658"/>
      <c r="AD2" s="849" t="s">
        <v>392</v>
      </c>
      <c r="AE2" s="849"/>
      <c r="AF2" s="849"/>
      <c r="AG2" s="849"/>
      <c r="AH2" s="849"/>
      <c r="AI2" s="849"/>
      <c r="AJ2" s="849"/>
      <c r="AK2" s="849"/>
      <c r="AL2" s="659"/>
      <c r="AM2" s="659"/>
      <c r="AN2" s="659"/>
      <c r="AO2" s="659"/>
      <c r="AP2" s="659"/>
      <c r="AQ2" s="659"/>
    </row>
    <row r="3" spans="1:43" ht="16" thickBot="1">
      <c r="A3" s="233"/>
      <c r="B3" s="232"/>
      <c r="C3" s="234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5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841" t="s">
        <v>393</v>
      </c>
      <c r="AA3" s="842"/>
      <c r="AB3" s="842"/>
      <c r="AC3" s="842"/>
      <c r="AD3" s="842"/>
      <c r="AE3" s="842"/>
      <c r="AF3" s="842"/>
      <c r="AG3" s="842"/>
      <c r="AH3" s="842"/>
      <c r="AI3" s="842"/>
      <c r="AJ3" s="842"/>
      <c r="AK3" s="850"/>
      <c r="AL3" s="851" t="s">
        <v>394</v>
      </c>
      <c r="AM3" s="843"/>
      <c r="AN3" s="843"/>
      <c r="AO3" s="843"/>
      <c r="AP3" s="843"/>
      <c r="AQ3" s="844"/>
    </row>
    <row r="4" spans="1:43" ht="16" thickBot="1">
      <c r="A4" s="301"/>
      <c r="B4" s="299"/>
      <c r="C4" s="300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8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841" t="s">
        <v>395</v>
      </c>
      <c r="AA4" s="842"/>
      <c r="AB4" s="842"/>
      <c r="AC4" s="842"/>
      <c r="AD4" s="841" t="s">
        <v>396</v>
      </c>
      <c r="AE4" s="842"/>
      <c r="AF4" s="842"/>
      <c r="AG4" s="842"/>
      <c r="AH4" s="843"/>
      <c r="AI4" s="843"/>
      <c r="AJ4" s="843"/>
      <c r="AK4" s="844"/>
      <c r="AL4" s="660"/>
      <c r="AM4" s="661"/>
      <c r="AN4" s="661"/>
      <c r="AO4" s="661"/>
      <c r="AP4" s="661"/>
      <c r="AQ4" s="662"/>
    </row>
    <row r="5" spans="1:43" ht="49" thickBot="1">
      <c r="A5" s="663" t="s">
        <v>397</v>
      </c>
      <c r="B5" s="664" t="s">
        <v>398</v>
      </c>
      <c r="C5" s="665" t="s">
        <v>267</v>
      </c>
      <c r="D5" s="666" t="s">
        <v>268</v>
      </c>
      <c r="E5" s="666" t="s">
        <v>269</v>
      </c>
      <c r="F5" s="666" t="s">
        <v>270</v>
      </c>
      <c r="G5" s="666" t="s">
        <v>271</v>
      </c>
      <c r="H5" s="666" t="s">
        <v>272</v>
      </c>
      <c r="I5" s="666" t="s">
        <v>273</v>
      </c>
      <c r="J5" s="666" t="s">
        <v>274</v>
      </c>
      <c r="K5" s="666" t="s">
        <v>275</v>
      </c>
      <c r="L5" s="666" t="s">
        <v>276</v>
      </c>
      <c r="M5" s="666" t="s">
        <v>277</v>
      </c>
      <c r="N5" s="667" t="s">
        <v>278</v>
      </c>
      <c r="O5" s="666" t="s">
        <v>279</v>
      </c>
      <c r="P5" s="666" t="s">
        <v>280</v>
      </c>
      <c r="Q5" s="666" t="s">
        <v>281</v>
      </c>
      <c r="R5" s="666" t="s">
        <v>282</v>
      </c>
      <c r="S5" s="666" t="s">
        <v>283</v>
      </c>
      <c r="T5" s="666" t="s">
        <v>284</v>
      </c>
      <c r="U5" s="666" t="s">
        <v>285</v>
      </c>
      <c r="V5" s="666" t="s">
        <v>286</v>
      </c>
      <c r="W5" s="666" t="s">
        <v>287</v>
      </c>
      <c r="X5" s="666" t="s">
        <v>288</v>
      </c>
      <c r="Y5" s="666" t="s">
        <v>290</v>
      </c>
      <c r="Z5" s="668" t="s">
        <v>399</v>
      </c>
      <c r="AA5" s="669" t="s">
        <v>400</v>
      </c>
      <c r="AB5" s="669" t="s">
        <v>401</v>
      </c>
      <c r="AC5" s="669" t="s">
        <v>402</v>
      </c>
      <c r="AD5" s="670" t="s">
        <v>403</v>
      </c>
      <c r="AE5" s="669" t="s">
        <v>404</v>
      </c>
      <c r="AF5" s="669" t="s">
        <v>405</v>
      </c>
      <c r="AG5" s="671" t="s">
        <v>406</v>
      </c>
      <c r="AH5" s="672" t="s">
        <v>407</v>
      </c>
      <c r="AI5" s="672" t="s">
        <v>186</v>
      </c>
      <c r="AJ5" s="845" t="s">
        <v>408</v>
      </c>
      <c r="AK5" s="673" t="s">
        <v>409</v>
      </c>
      <c r="AL5" s="673" t="s">
        <v>410</v>
      </c>
      <c r="AM5" s="674" t="s">
        <v>403</v>
      </c>
      <c r="AN5" s="675" t="s">
        <v>404</v>
      </c>
      <c r="AO5" s="675" t="s">
        <v>405</v>
      </c>
      <c r="AP5" s="672" t="s">
        <v>406</v>
      </c>
      <c r="AQ5" s="847" t="s">
        <v>514</v>
      </c>
    </row>
    <row r="6" spans="1:43" ht="16" thickBot="1">
      <c r="A6" s="138"/>
      <c r="B6" s="139"/>
      <c r="C6" s="140"/>
      <c r="D6" s="139"/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676"/>
      <c r="P6" s="677"/>
      <c r="Q6" s="677"/>
      <c r="R6" s="677"/>
      <c r="S6" s="677"/>
      <c r="T6" s="677"/>
      <c r="U6" s="677"/>
      <c r="V6" s="677"/>
      <c r="W6" s="677"/>
      <c r="X6" s="677"/>
      <c r="Y6" s="677"/>
      <c r="Z6" s="678"/>
      <c r="AA6" s="139"/>
      <c r="AB6" s="139"/>
      <c r="AC6" s="139"/>
      <c r="AD6" s="679"/>
      <c r="AE6" s="237"/>
      <c r="AF6" s="237"/>
      <c r="AG6" s="680"/>
      <c r="AH6" s="240"/>
      <c r="AI6" s="240"/>
      <c r="AJ6" s="846"/>
      <c r="AK6" s="681"/>
      <c r="AL6" s="682"/>
      <c r="AM6" s="683"/>
      <c r="AN6" s="684"/>
      <c r="AO6" s="684"/>
      <c r="AP6" s="685"/>
      <c r="AQ6" s="848"/>
    </row>
    <row r="7" spans="1:43" ht="342" customHeight="1">
      <c r="A7" s="686" t="s">
        <v>243</v>
      </c>
      <c r="B7" s="687" t="s">
        <v>515</v>
      </c>
      <c r="C7" s="688"/>
      <c r="D7" s="688"/>
      <c r="E7" s="688"/>
      <c r="F7" s="688"/>
      <c r="G7" s="688"/>
      <c r="H7" s="688"/>
      <c r="I7" s="688"/>
      <c r="J7" s="688"/>
      <c r="K7" s="688"/>
      <c r="L7" s="688"/>
      <c r="M7" s="688"/>
      <c r="N7" s="689"/>
      <c r="O7" s="690" t="s">
        <v>516</v>
      </c>
      <c r="P7" s="688" t="s">
        <v>516</v>
      </c>
      <c r="Q7" s="688" t="s">
        <v>516</v>
      </c>
      <c r="R7" s="688" t="s">
        <v>516</v>
      </c>
      <c r="S7" s="691" t="s">
        <v>516</v>
      </c>
      <c r="T7" s="691" t="s">
        <v>516</v>
      </c>
      <c r="U7" s="691" t="s">
        <v>516</v>
      </c>
      <c r="V7" s="691" t="s">
        <v>516</v>
      </c>
      <c r="W7" s="691" t="s">
        <v>516</v>
      </c>
      <c r="X7" s="691" t="s">
        <v>516</v>
      </c>
      <c r="Y7" s="691" t="s">
        <v>516</v>
      </c>
      <c r="Z7" s="692"/>
      <c r="AA7" s="693"/>
      <c r="AB7" s="694"/>
      <c r="AC7" s="695"/>
      <c r="AD7" s="696">
        <v>1900</v>
      </c>
      <c r="AE7" s="563">
        <v>2100</v>
      </c>
      <c r="AF7" s="563">
        <v>650</v>
      </c>
      <c r="AG7" s="697">
        <f t="shared" ref="AG7:AG11" si="0">AD7*AF7+AC7</f>
        <v>1235000</v>
      </c>
      <c r="AH7" s="698">
        <f t="shared" ref="AH7:AH11" si="1">AE7*AF7+AC7</f>
        <v>1365000</v>
      </c>
      <c r="AI7" s="698">
        <f t="shared" ref="AI7:AI11" si="2">AH7-AG7</f>
        <v>130000</v>
      </c>
      <c r="AJ7" s="846"/>
      <c r="AK7" s="505"/>
      <c r="AL7" s="503"/>
      <c r="AM7" s="504"/>
      <c r="AN7" s="563"/>
      <c r="AO7" s="563"/>
      <c r="AP7" s="500">
        <f t="shared" ref="AP7:AP11" si="3">AM7*AO7</f>
        <v>0</v>
      </c>
      <c r="AQ7" s="505"/>
    </row>
    <row r="8" spans="1:43" ht="368">
      <c r="A8" s="230" t="s">
        <v>244</v>
      </c>
      <c r="B8" s="687" t="s">
        <v>517</v>
      </c>
      <c r="C8" s="308"/>
      <c r="D8" s="309"/>
      <c r="E8" s="688"/>
      <c r="F8" s="688"/>
      <c r="G8" s="688"/>
      <c r="H8" s="688" t="s">
        <v>516</v>
      </c>
      <c r="I8" s="688" t="s">
        <v>516</v>
      </c>
      <c r="J8" s="688" t="s">
        <v>516</v>
      </c>
      <c r="K8" s="688" t="s">
        <v>516</v>
      </c>
      <c r="L8" s="688" t="s">
        <v>516</v>
      </c>
      <c r="M8" s="688" t="s">
        <v>516</v>
      </c>
      <c r="N8" s="689" t="s">
        <v>516</v>
      </c>
      <c r="O8" s="690" t="s">
        <v>516</v>
      </c>
      <c r="P8" s="688" t="s">
        <v>516</v>
      </c>
      <c r="Q8" s="688" t="s">
        <v>516</v>
      </c>
      <c r="R8" s="688" t="s">
        <v>516</v>
      </c>
      <c r="S8" s="691" t="s">
        <v>516</v>
      </c>
      <c r="T8" s="691" t="s">
        <v>516</v>
      </c>
      <c r="U8" s="691" t="s">
        <v>516</v>
      </c>
      <c r="V8" s="691" t="s">
        <v>516</v>
      </c>
      <c r="W8" s="691" t="s">
        <v>516</v>
      </c>
      <c r="X8" s="691" t="s">
        <v>516</v>
      </c>
      <c r="Y8" s="691" t="s">
        <v>516</v>
      </c>
      <c r="Z8" s="692" t="s">
        <v>518</v>
      </c>
      <c r="AA8" s="693">
        <v>1</v>
      </c>
      <c r="AB8" s="694">
        <v>378678.75</v>
      </c>
      <c r="AC8" s="695">
        <v>378678.75</v>
      </c>
      <c r="AD8" s="696">
        <v>4150</v>
      </c>
      <c r="AE8" s="563">
        <v>5000</v>
      </c>
      <c r="AF8" s="563">
        <v>650</v>
      </c>
      <c r="AG8" s="697">
        <f t="shared" si="0"/>
        <v>3076178.75</v>
      </c>
      <c r="AH8" s="698">
        <f t="shared" si="1"/>
        <v>3628678.75</v>
      </c>
      <c r="AI8" s="698">
        <f t="shared" si="2"/>
        <v>552500</v>
      </c>
      <c r="AJ8" s="846"/>
      <c r="AK8" s="506"/>
      <c r="AL8" s="504"/>
      <c r="AM8" s="504"/>
      <c r="AN8" s="563"/>
      <c r="AO8" s="563"/>
      <c r="AP8" s="500">
        <f t="shared" si="3"/>
        <v>0</v>
      </c>
      <c r="AQ8" s="506"/>
    </row>
    <row r="9" spans="1:43" ht="380">
      <c r="A9" s="686" t="s">
        <v>331</v>
      </c>
      <c r="B9" s="687" t="s">
        <v>519</v>
      </c>
      <c r="C9" s="699" t="s">
        <v>516</v>
      </c>
      <c r="D9" s="691" t="s">
        <v>516</v>
      </c>
      <c r="E9" s="691" t="s">
        <v>516</v>
      </c>
      <c r="F9" s="691" t="s">
        <v>516</v>
      </c>
      <c r="G9" s="691" t="s">
        <v>516</v>
      </c>
      <c r="H9" s="688" t="s">
        <v>516</v>
      </c>
      <c r="I9" s="688" t="s">
        <v>516</v>
      </c>
      <c r="J9" s="688" t="s">
        <v>516</v>
      </c>
      <c r="K9" s="688" t="s">
        <v>516</v>
      </c>
      <c r="L9" s="688" t="s">
        <v>516</v>
      </c>
      <c r="M9" s="688" t="s">
        <v>516</v>
      </c>
      <c r="N9" s="689" t="s">
        <v>516</v>
      </c>
      <c r="O9" s="690" t="s">
        <v>516</v>
      </c>
      <c r="P9" s="688" t="s">
        <v>516</v>
      </c>
      <c r="Q9" s="688" t="s">
        <v>516</v>
      </c>
      <c r="R9" s="688" t="s">
        <v>516</v>
      </c>
      <c r="S9" s="691" t="s">
        <v>516</v>
      </c>
      <c r="T9" s="691" t="s">
        <v>516</v>
      </c>
      <c r="U9" s="691" t="s">
        <v>516</v>
      </c>
      <c r="V9" s="691" t="s">
        <v>516</v>
      </c>
      <c r="W9" s="691" t="s">
        <v>516</v>
      </c>
      <c r="X9" s="691" t="s">
        <v>516</v>
      </c>
      <c r="Y9" s="691" t="s">
        <v>516</v>
      </c>
      <c r="Z9" s="700" t="s">
        <v>520</v>
      </c>
      <c r="AA9" s="693">
        <v>1</v>
      </c>
      <c r="AB9" s="694">
        <v>236500</v>
      </c>
      <c r="AC9" s="695">
        <f>AA9*AB9</f>
        <v>236500</v>
      </c>
      <c r="AD9" s="696">
        <v>5700</v>
      </c>
      <c r="AE9" s="563">
        <v>6200</v>
      </c>
      <c r="AF9" s="563">
        <v>650</v>
      </c>
      <c r="AG9" s="697">
        <f t="shared" si="0"/>
        <v>3941500</v>
      </c>
      <c r="AH9" s="698">
        <f t="shared" si="1"/>
        <v>4266500</v>
      </c>
      <c r="AI9" s="698">
        <f t="shared" si="2"/>
        <v>325000</v>
      </c>
      <c r="AJ9" s="846"/>
      <c r="AK9" s="506"/>
      <c r="AL9" s="504"/>
      <c r="AM9" s="504"/>
      <c r="AN9" s="563"/>
      <c r="AO9" s="563"/>
      <c r="AP9" s="500">
        <f t="shared" si="3"/>
        <v>0</v>
      </c>
      <c r="AQ9" s="506"/>
    </row>
    <row r="10" spans="1:43" ht="130">
      <c r="A10" s="230" t="s">
        <v>333</v>
      </c>
      <c r="B10" s="687" t="s">
        <v>521</v>
      </c>
      <c r="C10" s="308"/>
      <c r="D10" s="309"/>
      <c r="E10" s="309"/>
      <c r="F10" s="309"/>
      <c r="G10" s="309"/>
      <c r="H10" s="688"/>
      <c r="I10" s="688"/>
      <c r="J10" s="688"/>
      <c r="K10" s="688" t="s">
        <v>516</v>
      </c>
      <c r="L10" s="688" t="s">
        <v>516</v>
      </c>
      <c r="M10" s="688" t="s">
        <v>516</v>
      </c>
      <c r="N10" s="689" t="s">
        <v>516</v>
      </c>
      <c r="O10" s="690" t="s">
        <v>516</v>
      </c>
      <c r="P10" s="688" t="s">
        <v>516</v>
      </c>
      <c r="Q10" s="688" t="s">
        <v>516</v>
      </c>
      <c r="R10" s="688" t="s">
        <v>516</v>
      </c>
      <c r="S10" s="691" t="s">
        <v>516</v>
      </c>
      <c r="T10" s="691" t="s">
        <v>516</v>
      </c>
      <c r="U10" s="691" t="s">
        <v>516</v>
      </c>
      <c r="V10" s="691" t="s">
        <v>516</v>
      </c>
      <c r="W10" s="691" t="s">
        <v>516</v>
      </c>
      <c r="X10" s="691" t="s">
        <v>516</v>
      </c>
      <c r="Y10" s="691" t="s">
        <v>516</v>
      </c>
      <c r="Z10" s="692"/>
      <c r="AA10" s="693"/>
      <c r="AB10" s="694"/>
      <c r="AC10" s="695"/>
      <c r="AD10" s="696">
        <v>3100</v>
      </c>
      <c r="AE10" s="563">
        <v>3650</v>
      </c>
      <c r="AF10" s="563">
        <v>650</v>
      </c>
      <c r="AG10" s="697">
        <f t="shared" si="0"/>
        <v>2015000</v>
      </c>
      <c r="AH10" s="698">
        <f t="shared" si="1"/>
        <v>2372500</v>
      </c>
      <c r="AI10" s="698">
        <f t="shared" si="2"/>
        <v>357500</v>
      </c>
      <c r="AJ10" s="846"/>
      <c r="AK10" s="506"/>
      <c r="AL10" s="504"/>
      <c r="AM10" s="504"/>
      <c r="AN10" s="563"/>
      <c r="AO10" s="563"/>
      <c r="AP10" s="500">
        <f t="shared" si="3"/>
        <v>0</v>
      </c>
      <c r="AQ10" s="506"/>
    </row>
    <row r="11" spans="1:43" ht="27" thickBot="1">
      <c r="A11" s="231" t="s">
        <v>411</v>
      </c>
      <c r="B11" s="701" t="s">
        <v>522</v>
      </c>
      <c r="C11" s="699" t="s">
        <v>516</v>
      </c>
      <c r="D11" s="691" t="s">
        <v>516</v>
      </c>
      <c r="E11" s="691" t="s">
        <v>516</v>
      </c>
      <c r="F11" s="691" t="s">
        <v>516</v>
      </c>
      <c r="G11" s="691" t="s">
        <v>516</v>
      </c>
      <c r="H11" s="688" t="s">
        <v>516</v>
      </c>
      <c r="I11" s="688" t="s">
        <v>516</v>
      </c>
      <c r="J11" s="688" t="s">
        <v>516</v>
      </c>
      <c r="K11" s="688" t="s">
        <v>516</v>
      </c>
      <c r="L11" s="688" t="s">
        <v>516</v>
      </c>
      <c r="M11" s="688" t="s">
        <v>516</v>
      </c>
      <c r="N11" s="689" t="s">
        <v>516</v>
      </c>
      <c r="O11" s="702" t="s">
        <v>516</v>
      </c>
      <c r="P11" s="703" t="s">
        <v>516</v>
      </c>
      <c r="Q11" s="703" t="s">
        <v>516</v>
      </c>
      <c r="R11" s="703" t="s">
        <v>516</v>
      </c>
      <c r="S11" s="704" t="s">
        <v>516</v>
      </c>
      <c r="T11" s="704" t="s">
        <v>516</v>
      </c>
      <c r="U11" s="704" t="s">
        <v>516</v>
      </c>
      <c r="V11" s="704" t="s">
        <v>516</v>
      </c>
      <c r="W11" s="704" t="s">
        <v>516</v>
      </c>
      <c r="X11" s="704" t="s">
        <v>516</v>
      </c>
      <c r="Y11" s="704" t="s">
        <v>516</v>
      </c>
      <c r="Z11" s="705" t="s">
        <v>84</v>
      </c>
      <c r="AA11" s="706" t="s">
        <v>84</v>
      </c>
      <c r="AB11" s="707" t="s">
        <v>84</v>
      </c>
      <c r="AC11" s="708" t="s">
        <v>84</v>
      </c>
      <c r="AD11" s="709" t="s">
        <v>84</v>
      </c>
      <c r="AE11" s="710" t="s">
        <v>84</v>
      </c>
      <c r="AF11" s="710" t="s">
        <v>84</v>
      </c>
      <c r="AG11" s="711" t="e">
        <f t="shared" si="0"/>
        <v>#VALUE!</v>
      </c>
      <c r="AH11" s="698" t="e">
        <f t="shared" si="1"/>
        <v>#VALUE!</v>
      </c>
      <c r="AI11" s="698" t="e">
        <f t="shared" si="2"/>
        <v>#VALUE!</v>
      </c>
      <c r="AJ11" s="846"/>
      <c r="AK11" s="506"/>
      <c r="AL11" s="504"/>
      <c r="AM11" s="504"/>
      <c r="AN11" s="563"/>
      <c r="AO11" s="563"/>
      <c r="AP11" s="500">
        <f t="shared" si="3"/>
        <v>0</v>
      </c>
      <c r="AQ11" s="506"/>
    </row>
    <row r="12" spans="1:43" ht="13" thickBot="1">
      <c r="A12" s="225" t="s">
        <v>326</v>
      </c>
      <c r="B12" s="142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536"/>
      <c r="P12" s="536"/>
      <c r="Q12" s="536"/>
      <c r="R12" s="536"/>
      <c r="S12" s="536"/>
      <c r="T12" s="536"/>
      <c r="U12" s="536"/>
      <c r="V12" s="536"/>
      <c r="W12" s="536"/>
      <c r="X12" s="536"/>
      <c r="Y12" s="536"/>
      <c r="Z12" s="536"/>
      <c r="AA12" s="536"/>
      <c r="AB12" s="536"/>
      <c r="AC12" s="712">
        <f>SUM(AC7:AC11)</f>
        <v>615178.75</v>
      </c>
      <c r="AD12" s="239">
        <f>SUM(AD7:AD11)</f>
        <v>14850</v>
      </c>
      <c r="AE12" s="239"/>
      <c r="AF12" s="239"/>
      <c r="AG12" s="713">
        <f>SUM(AG7:AG10)</f>
        <v>10267678.75</v>
      </c>
      <c r="AH12" s="714">
        <f>SUM(AH7:AH10)</f>
        <v>11632678.75</v>
      </c>
      <c r="AI12" s="714">
        <f>SUM(AI7:AI10)</f>
        <v>1365000</v>
      </c>
      <c r="AJ12" s="297">
        <v>0</v>
      </c>
      <c r="AK12" s="296"/>
      <c r="AL12" s="239"/>
      <c r="AM12" s="715">
        <f>SUM(AM7:AM11)</f>
        <v>0</v>
      </c>
      <c r="AN12" s="715">
        <f>SUM(AN7:AN11)</f>
        <v>0</v>
      </c>
      <c r="AO12" s="715">
        <f>SUM(AO7:AO11)</f>
        <v>0</v>
      </c>
      <c r="AP12" s="714">
        <f>SUM(AP7:AP11)</f>
        <v>0</v>
      </c>
      <c r="AQ12" s="241"/>
    </row>
    <row r="15" spans="1:43" ht="29">
      <c r="A15" s="839" t="s">
        <v>524</v>
      </c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  <c r="O15" s="839"/>
      <c r="P15" s="839"/>
      <c r="Q15" s="839"/>
      <c r="R15" s="839"/>
      <c r="S15" s="839"/>
      <c r="T15" s="839"/>
      <c r="U15" s="839"/>
      <c r="V15" s="839"/>
      <c r="W15" s="839"/>
      <c r="X15" s="839"/>
      <c r="Y15" s="839"/>
    </row>
    <row r="16" spans="1:43" ht="22" thickBot="1">
      <c r="A16" s="840" t="s">
        <v>391</v>
      </c>
      <c r="B16" s="840"/>
      <c r="C16" s="840"/>
      <c r="D16" s="840"/>
      <c r="E16" s="840"/>
      <c r="F16" s="840"/>
      <c r="G16" s="840"/>
      <c r="H16" s="840"/>
      <c r="I16" s="840"/>
      <c r="J16" s="840"/>
      <c r="K16" s="840"/>
      <c r="L16" s="840"/>
      <c r="M16" s="840"/>
      <c r="N16" s="840"/>
      <c r="O16" s="840"/>
      <c r="P16" s="840"/>
      <c r="Q16" s="840"/>
      <c r="R16" s="840"/>
      <c r="S16" s="840"/>
      <c r="T16" s="840"/>
      <c r="U16" s="840"/>
      <c r="V16" s="840"/>
      <c r="W16" s="840"/>
      <c r="X16" s="840"/>
      <c r="Y16" s="840"/>
      <c r="Z16" s="658"/>
      <c r="AA16" s="658"/>
      <c r="AB16" s="658"/>
      <c r="AC16" s="658"/>
      <c r="AD16" s="849" t="s">
        <v>392</v>
      </c>
      <c r="AE16" s="849"/>
      <c r="AF16" s="849"/>
      <c r="AG16" s="849"/>
      <c r="AH16" s="849"/>
      <c r="AI16" s="849"/>
      <c r="AJ16" s="849"/>
      <c r="AK16" s="849"/>
      <c r="AL16" s="659"/>
      <c r="AM16" s="659"/>
      <c r="AN16" s="659"/>
      <c r="AO16" s="659"/>
      <c r="AP16" s="659"/>
      <c r="AQ16" s="659"/>
    </row>
    <row r="17" spans="1:43" ht="16" thickBot="1">
      <c r="A17" s="233"/>
      <c r="B17" s="232"/>
      <c r="C17" s="234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5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841" t="s">
        <v>393</v>
      </c>
      <c r="AA17" s="842"/>
      <c r="AB17" s="842"/>
      <c r="AC17" s="842"/>
      <c r="AD17" s="842"/>
      <c r="AE17" s="842"/>
      <c r="AF17" s="842"/>
      <c r="AG17" s="842"/>
      <c r="AH17" s="842"/>
      <c r="AI17" s="842"/>
      <c r="AJ17" s="842"/>
      <c r="AK17" s="850"/>
      <c r="AL17" s="851" t="s">
        <v>394</v>
      </c>
      <c r="AM17" s="843"/>
      <c r="AN17" s="843"/>
      <c r="AO17" s="843"/>
      <c r="AP17" s="843"/>
      <c r="AQ17" s="844"/>
    </row>
    <row r="18" spans="1:43" ht="16" thickBot="1">
      <c r="A18" s="301"/>
      <c r="B18" s="299"/>
      <c r="C18" s="300"/>
      <c r="D18" s="299"/>
      <c r="E18" s="299"/>
      <c r="F18" s="299"/>
      <c r="G18" s="299"/>
      <c r="H18" s="299"/>
      <c r="I18" s="299"/>
      <c r="J18" s="299"/>
      <c r="K18" s="299"/>
      <c r="L18" s="299"/>
      <c r="M18" s="299"/>
      <c r="N18" s="298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841" t="s">
        <v>395</v>
      </c>
      <c r="AA18" s="842"/>
      <c r="AB18" s="842"/>
      <c r="AC18" s="842"/>
      <c r="AD18" s="841" t="s">
        <v>396</v>
      </c>
      <c r="AE18" s="842"/>
      <c r="AF18" s="842"/>
      <c r="AG18" s="842"/>
      <c r="AH18" s="843"/>
      <c r="AI18" s="843"/>
      <c r="AJ18" s="843"/>
      <c r="AK18" s="844"/>
      <c r="AL18" s="660"/>
      <c r="AM18" s="661"/>
      <c r="AN18" s="661"/>
      <c r="AO18" s="661"/>
      <c r="AP18" s="661"/>
      <c r="AQ18" s="662"/>
    </row>
    <row r="19" spans="1:43" ht="49" thickBot="1">
      <c r="A19" s="663" t="s">
        <v>397</v>
      </c>
      <c r="B19" s="664" t="s">
        <v>398</v>
      </c>
      <c r="C19" s="665" t="s">
        <v>267</v>
      </c>
      <c r="D19" s="666" t="s">
        <v>268</v>
      </c>
      <c r="E19" s="666" t="s">
        <v>269</v>
      </c>
      <c r="F19" s="666" t="s">
        <v>270</v>
      </c>
      <c r="G19" s="666" t="s">
        <v>271</v>
      </c>
      <c r="H19" s="666" t="s">
        <v>272</v>
      </c>
      <c r="I19" s="666" t="s">
        <v>273</v>
      </c>
      <c r="J19" s="666" t="s">
        <v>274</v>
      </c>
      <c r="K19" s="666" t="s">
        <v>275</v>
      </c>
      <c r="L19" s="666" t="s">
        <v>276</v>
      </c>
      <c r="M19" s="666" t="s">
        <v>277</v>
      </c>
      <c r="N19" s="667" t="s">
        <v>278</v>
      </c>
      <c r="O19" s="666" t="s">
        <v>279</v>
      </c>
      <c r="P19" s="666" t="s">
        <v>280</v>
      </c>
      <c r="Q19" s="666" t="s">
        <v>281</v>
      </c>
      <c r="R19" s="666" t="s">
        <v>282</v>
      </c>
      <c r="S19" s="666" t="s">
        <v>283</v>
      </c>
      <c r="T19" s="666" t="s">
        <v>284</v>
      </c>
      <c r="U19" s="666" t="s">
        <v>285</v>
      </c>
      <c r="V19" s="666" t="s">
        <v>286</v>
      </c>
      <c r="W19" s="666" t="s">
        <v>287</v>
      </c>
      <c r="X19" s="666" t="s">
        <v>288</v>
      </c>
      <c r="Y19" s="666" t="s">
        <v>290</v>
      </c>
      <c r="Z19" s="668" t="s">
        <v>399</v>
      </c>
      <c r="AA19" s="669" t="s">
        <v>400</v>
      </c>
      <c r="AB19" s="669" t="s">
        <v>401</v>
      </c>
      <c r="AC19" s="669" t="s">
        <v>402</v>
      </c>
      <c r="AD19" s="670" t="s">
        <v>403</v>
      </c>
      <c r="AE19" s="669" t="s">
        <v>404</v>
      </c>
      <c r="AF19" s="669" t="s">
        <v>405</v>
      </c>
      <c r="AG19" s="671" t="s">
        <v>406</v>
      </c>
      <c r="AH19" s="672" t="s">
        <v>407</v>
      </c>
      <c r="AI19" s="672" t="s">
        <v>186</v>
      </c>
      <c r="AJ19" s="845" t="s">
        <v>408</v>
      </c>
      <c r="AK19" s="673" t="s">
        <v>409</v>
      </c>
      <c r="AL19" s="673" t="s">
        <v>410</v>
      </c>
      <c r="AM19" s="674" t="s">
        <v>403</v>
      </c>
      <c r="AN19" s="675" t="s">
        <v>404</v>
      </c>
      <c r="AO19" s="675" t="s">
        <v>405</v>
      </c>
      <c r="AP19" s="672" t="s">
        <v>406</v>
      </c>
      <c r="AQ19" s="847" t="s">
        <v>514</v>
      </c>
    </row>
    <row r="20" spans="1:43" ht="16" thickBot="1">
      <c r="A20" s="138"/>
      <c r="B20" s="139"/>
      <c r="C20" s="140"/>
      <c r="D20" s="139"/>
      <c r="E20" s="139"/>
      <c r="F20" s="139"/>
      <c r="G20" s="139"/>
      <c r="H20" s="139"/>
      <c r="I20" s="139"/>
      <c r="J20" s="139"/>
      <c r="K20" s="139"/>
      <c r="L20" s="139"/>
      <c r="M20" s="139"/>
      <c r="N20" s="716"/>
      <c r="O20" s="676"/>
      <c r="P20" s="677"/>
      <c r="Q20" s="677"/>
      <c r="R20" s="677"/>
      <c r="S20" s="677"/>
      <c r="T20" s="677"/>
      <c r="U20" s="677"/>
      <c r="V20" s="677"/>
      <c r="W20" s="677"/>
      <c r="X20" s="677"/>
      <c r="Y20" s="677"/>
      <c r="Z20" s="678"/>
      <c r="AA20" s="716"/>
      <c r="AB20" s="716"/>
      <c r="AC20" s="716"/>
      <c r="AD20" s="679"/>
      <c r="AE20" s="717"/>
      <c r="AF20" s="717"/>
      <c r="AG20" s="680"/>
      <c r="AH20" s="240"/>
      <c r="AI20" s="240"/>
      <c r="AJ20" s="846"/>
      <c r="AK20" s="681"/>
      <c r="AL20" s="682"/>
      <c r="AM20" s="683"/>
      <c r="AN20" s="684"/>
      <c r="AO20" s="684"/>
      <c r="AP20" s="685"/>
      <c r="AQ20" s="848"/>
    </row>
    <row r="21" spans="1:43" ht="341" customHeight="1">
      <c r="A21" s="686" t="s">
        <v>243</v>
      </c>
      <c r="B21" s="687" t="s">
        <v>515</v>
      </c>
      <c r="C21" s="688"/>
      <c r="D21" s="688"/>
      <c r="E21" s="688"/>
      <c r="F21" s="688"/>
      <c r="G21" s="688"/>
      <c r="H21" s="688"/>
      <c r="I21" s="688"/>
      <c r="J21" s="688"/>
      <c r="K21" s="688"/>
      <c r="L21" s="688"/>
      <c r="M21" s="688"/>
      <c r="N21" s="689"/>
      <c r="O21" s="690" t="s">
        <v>516</v>
      </c>
      <c r="P21" s="688" t="s">
        <v>516</v>
      </c>
      <c r="Q21" s="688" t="s">
        <v>516</v>
      </c>
      <c r="R21" s="688" t="s">
        <v>516</v>
      </c>
      <c r="S21" s="691" t="s">
        <v>516</v>
      </c>
      <c r="T21" s="691" t="s">
        <v>516</v>
      </c>
      <c r="U21" s="691" t="s">
        <v>516</v>
      </c>
      <c r="V21" s="691" t="s">
        <v>516</v>
      </c>
      <c r="W21" s="691" t="s">
        <v>516</v>
      </c>
      <c r="X21" s="691" t="s">
        <v>516</v>
      </c>
      <c r="Y21" s="691" t="s">
        <v>516</v>
      </c>
      <c r="Z21" s="692"/>
      <c r="AA21" s="693"/>
      <c r="AB21" s="694"/>
      <c r="AC21" s="695"/>
      <c r="AD21" s="696">
        <v>1800</v>
      </c>
      <c r="AE21" s="563">
        <v>2000</v>
      </c>
      <c r="AF21" s="563">
        <v>627</v>
      </c>
      <c r="AG21" s="697">
        <f t="shared" ref="AG21:AG25" si="4">AD21*AF21+AC21</f>
        <v>1128600</v>
      </c>
      <c r="AH21" s="698">
        <f t="shared" ref="AH21:AH25" si="5">AE21*AF21+AC21</f>
        <v>1254000</v>
      </c>
      <c r="AI21" s="698">
        <f t="shared" ref="AI21:AI25" si="6">AH21-AG21</f>
        <v>125400</v>
      </c>
      <c r="AJ21" s="846"/>
      <c r="AK21" s="718" t="s">
        <v>525</v>
      </c>
      <c r="AL21" s="503"/>
      <c r="AM21" s="504"/>
      <c r="AN21" s="563"/>
      <c r="AO21" s="563"/>
      <c r="AP21" s="500">
        <f t="shared" ref="AP21:AP25" si="7">AM21*AO21</f>
        <v>0</v>
      </c>
      <c r="AQ21" s="505"/>
    </row>
    <row r="22" spans="1:43" ht="368">
      <c r="A22" s="230" t="s">
        <v>244</v>
      </c>
      <c r="B22" s="687" t="s">
        <v>517</v>
      </c>
      <c r="C22" s="308"/>
      <c r="D22" s="309"/>
      <c r="E22" s="688"/>
      <c r="F22" s="688"/>
      <c r="G22" s="688"/>
      <c r="H22" s="688" t="s">
        <v>516</v>
      </c>
      <c r="I22" s="688" t="s">
        <v>516</v>
      </c>
      <c r="J22" s="688" t="s">
        <v>516</v>
      </c>
      <c r="K22" s="688" t="s">
        <v>516</v>
      </c>
      <c r="L22" s="688" t="s">
        <v>516</v>
      </c>
      <c r="M22" s="688" t="s">
        <v>516</v>
      </c>
      <c r="N22" s="689" t="s">
        <v>516</v>
      </c>
      <c r="O22" s="690" t="s">
        <v>516</v>
      </c>
      <c r="P22" s="688" t="s">
        <v>516</v>
      </c>
      <c r="Q22" s="688" t="s">
        <v>516</v>
      </c>
      <c r="R22" s="688" t="s">
        <v>516</v>
      </c>
      <c r="S22" s="691" t="s">
        <v>516</v>
      </c>
      <c r="T22" s="691" t="s">
        <v>516</v>
      </c>
      <c r="U22" s="691" t="s">
        <v>516</v>
      </c>
      <c r="V22" s="691" t="s">
        <v>516</v>
      </c>
      <c r="W22" s="691" t="s">
        <v>516</v>
      </c>
      <c r="X22" s="691" t="s">
        <v>516</v>
      </c>
      <c r="Y22" s="691" t="s">
        <v>516</v>
      </c>
      <c r="Z22" s="692" t="s">
        <v>518</v>
      </c>
      <c r="AA22" s="693">
        <v>1</v>
      </c>
      <c r="AB22" s="694">
        <v>378678.75</v>
      </c>
      <c r="AC22" s="695">
        <v>378678.75</v>
      </c>
      <c r="AD22" s="696">
        <v>4000</v>
      </c>
      <c r="AE22" s="563">
        <v>4800</v>
      </c>
      <c r="AF22" s="563">
        <v>627</v>
      </c>
      <c r="AG22" s="697">
        <f t="shared" si="4"/>
        <v>2886678.75</v>
      </c>
      <c r="AH22" s="698">
        <f t="shared" si="5"/>
        <v>3388278.75</v>
      </c>
      <c r="AI22" s="698">
        <f t="shared" si="6"/>
        <v>501600</v>
      </c>
      <c r="AJ22" s="846"/>
      <c r="AK22" s="718" t="s">
        <v>525</v>
      </c>
      <c r="AL22" s="504"/>
      <c r="AM22" s="504"/>
      <c r="AN22" s="563"/>
      <c r="AO22" s="563"/>
      <c r="AP22" s="500">
        <f t="shared" si="7"/>
        <v>0</v>
      </c>
      <c r="AQ22" s="506"/>
    </row>
    <row r="23" spans="1:43" ht="380">
      <c r="A23" s="686" t="s">
        <v>331</v>
      </c>
      <c r="B23" s="687" t="s">
        <v>519</v>
      </c>
      <c r="C23" s="699" t="s">
        <v>516</v>
      </c>
      <c r="D23" s="691" t="s">
        <v>516</v>
      </c>
      <c r="E23" s="691" t="s">
        <v>516</v>
      </c>
      <c r="F23" s="691" t="s">
        <v>516</v>
      </c>
      <c r="G23" s="691" t="s">
        <v>516</v>
      </c>
      <c r="H23" s="688" t="s">
        <v>516</v>
      </c>
      <c r="I23" s="688" t="s">
        <v>516</v>
      </c>
      <c r="J23" s="688" t="s">
        <v>516</v>
      </c>
      <c r="K23" s="688" t="s">
        <v>516</v>
      </c>
      <c r="L23" s="688" t="s">
        <v>516</v>
      </c>
      <c r="M23" s="688" t="s">
        <v>516</v>
      </c>
      <c r="N23" s="689" t="s">
        <v>516</v>
      </c>
      <c r="O23" s="690" t="s">
        <v>516</v>
      </c>
      <c r="P23" s="688" t="s">
        <v>516</v>
      </c>
      <c r="Q23" s="688" t="s">
        <v>516</v>
      </c>
      <c r="R23" s="688" t="s">
        <v>516</v>
      </c>
      <c r="S23" s="691" t="s">
        <v>516</v>
      </c>
      <c r="T23" s="691" t="s">
        <v>516</v>
      </c>
      <c r="U23" s="691" t="s">
        <v>516</v>
      </c>
      <c r="V23" s="691" t="s">
        <v>516</v>
      </c>
      <c r="W23" s="691" t="s">
        <v>516</v>
      </c>
      <c r="X23" s="691" t="s">
        <v>516</v>
      </c>
      <c r="Y23" s="691" t="s">
        <v>516</v>
      </c>
      <c r="Z23" s="700" t="s">
        <v>520</v>
      </c>
      <c r="AA23" s="693">
        <v>1</v>
      </c>
      <c r="AB23" s="694">
        <v>236500</v>
      </c>
      <c r="AC23" s="695">
        <f>AA23*AB23</f>
        <v>236500</v>
      </c>
      <c r="AD23" s="696">
        <v>5500</v>
      </c>
      <c r="AE23" s="563">
        <v>6000</v>
      </c>
      <c r="AF23" s="563">
        <v>627</v>
      </c>
      <c r="AG23" s="697">
        <f t="shared" si="4"/>
        <v>3685000</v>
      </c>
      <c r="AH23" s="698">
        <f t="shared" si="5"/>
        <v>3998500</v>
      </c>
      <c r="AI23" s="698">
        <f t="shared" si="6"/>
        <v>313500</v>
      </c>
      <c r="AJ23" s="846"/>
      <c r="AK23" s="718" t="s">
        <v>525</v>
      </c>
      <c r="AL23" s="504"/>
      <c r="AM23" s="504"/>
      <c r="AN23" s="563"/>
      <c r="AO23" s="563"/>
      <c r="AP23" s="500">
        <f t="shared" si="7"/>
        <v>0</v>
      </c>
      <c r="AQ23" s="506"/>
    </row>
    <row r="24" spans="1:43" ht="130">
      <c r="A24" s="230" t="s">
        <v>333</v>
      </c>
      <c r="B24" s="687" t="s">
        <v>521</v>
      </c>
      <c r="C24" s="308"/>
      <c r="D24" s="309"/>
      <c r="E24" s="309"/>
      <c r="F24" s="309"/>
      <c r="G24" s="309"/>
      <c r="H24" s="688"/>
      <c r="I24" s="688"/>
      <c r="J24" s="688"/>
      <c r="K24" s="688" t="s">
        <v>516</v>
      </c>
      <c r="L24" s="688" t="s">
        <v>516</v>
      </c>
      <c r="M24" s="688" t="s">
        <v>516</v>
      </c>
      <c r="N24" s="689" t="s">
        <v>516</v>
      </c>
      <c r="O24" s="690" t="s">
        <v>516</v>
      </c>
      <c r="P24" s="688" t="s">
        <v>516</v>
      </c>
      <c r="Q24" s="688" t="s">
        <v>516</v>
      </c>
      <c r="R24" s="688" t="s">
        <v>516</v>
      </c>
      <c r="S24" s="691" t="s">
        <v>516</v>
      </c>
      <c r="T24" s="691" t="s">
        <v>516</v>
      </c>
      <c r="U24" s="691" t="s">
        <v>516</v>
      </c>
      <c r="V24" s="691" t="s">
        <v>516</v>
      </c>
      <c r="W24" s="691" t="s">
        <v>516</v>
      </c>
      <c r="X24" s="691" t="s">
        <v>516</v>
      </c>
      <c r="Y24" s="691" t="s">
        <v>516</v>
      </c>
      <c r="Z24" s="692"/>
      <c r="AA24" s="693"/>
      <c r="AB24" s="694"/>
      <c r="AC24" s="695"/>
      <c r="AD24" s="696">
        <v>3000</v>
      </c>
      <c r="AE24" s="563">
        <v>3500</v>
      </c>
      <c r="AF24" s="563">
        <v>627</v>
      </c>
      <c r="AG24" s="697">
        <f t="shared" si="4"/>
        <v>1881000</v>
      </c>
      <c r="AH24" s="698">
        <f t="shared" si="5"/>
        <v>2194500</v>
      </c>
      <c r="AI24" s="698">
        <f t="shared" si="6"/>
        <v>313500</v>
      </c>
      <c r="AJ24" s="846"/>
      <c r="AK24" s="718" t="s">
        <v>525</v>
      </c>
      <c r="AL24" s="504"/>
      <c r="AM24" s="504"/>
      <c r="AN24" s="563"/>
      <c r="AO24" s="563"/>
      <c r="AP24" s="500">
        <f t="shared" si="7"/>
        <v>0</v>
      </c>
      <c r="AQ24" s="506"/>
    </row>
    <row r="25" spans="1:43" ht="27" thickBot="1">
      <c r="A25" s="231" t="s">
        <v>411</v>
      </c>
      <c r="B25" s="701" t="s">
        <v>522</v>
      </c>
      <c r="C25" s="699" t="s">
        <v>516</v>
      </c>
      <c r="D25" s="691" t="s">
        <v>516</v>
      </c>
      <c r="E25" s="691" t="s">
        <v>516</v>
      </c>
      <c r="F25" s="691" t="s">
        <v>516</v>
      </c>
      <c r="G25" s="691" t="s">
        <v>516</v>
      </c>
      <c r="H25" s="688" t="s">
        <v>516</v>
      </c>
      <c r="I25" s="688" t="s">
        <v>516</v>
      </c>
      <c r="J25" s="688" t="s">
        <v>516</v>
      </c>
      <c r="K25" s="688" t="s">
        <v>516</v>
      </c>
      <c r="L25" s="688" t="s">
        <v>516</v>
      </c>
      <c r="M25" s="688" t="s">
        <v>516</v>
      </c>
      <c r="N25" s="689" t="s">
        <v>516</v>
      </c>
      <c r="O25" s="702" t="s">
        <v>516</v>
      </c>
      <c r="P25" s="703" t="s">
        <v>516</v>
      </c>
      <c r="Q25" s="703" t="s">
        <v>516</v>
      </c>
      <c r="R25" s="703" t="s">
        <v>516</v>
      </c>
      <c r="S25" s="704" t="s">
        <v>516</v>
      </c>
      <c r="T25" s="704" t="s">
        <v>516</v>
      </c>
      <c r="U25" s="704" t="s">
        <v>516</v>
      </c>
      <c r="V25" s="704" t="s">
        <v>516</v>
      </c>
      <c r="W25" s="704" t="s">
        <v>516</v>
      </c>
      <c r="X25" s="704" t="s">
        <v>516</v>
      </c>
      <c r="Y25" s="704" t="s">
        <v>516</v>
      </c>
      <c r="Z25" s="705" t="s">
        <v>84</v>
      </c>
      <c r="AA25" s="706" t="s">
        <v>84</v>
      </c>
      <c r="AB25" s="707" t="s">
        <v>84</v>
      </c>
      <c r="AC25" s="708" t="s">
        <v>84</v>
      </c>
      <c r="AD25" s="710" t="s">
        <v>84</v>
      </c>
      <c r="AE25" s="710" t="s">
        <v>84</v>
      </c>
      <c r="AF25" s="710" t="s">
        <v>84</v>
      </c>
      <c r="AG25" s="711" t="e">
        <f t="shared" si="4"/>
        <v>#VALUE!</v>
      </c>
      <c r="AH25" s="698" t="e">
        <f t="shared" si="5"/>
        <v>#VALUE!</v>
      </c>
      <c r="AI25" s="698" t="e">
        <f t="shared" si="6"/>
        <v>#VALUE!</v>
      </c>
      <c r="AJ25" s="846"/>
      <c r="AK25" s="506"/>
      <c r="AL25" s="504"/>
      <c r="AM25" s="504"/>
      <c r="AN25" s="563"/>
      <c r="AO25" s="563"/>
      <c r="AP25" s="500">
        <f t="shared" si="7"/>
        <v>0</v>
      </c>
      <c r="AQ25" s="506"/>
    </row>
    <row r="26" spans="1:43" ht="13" thickBot="1">
      <c r="A26" s="225" t="s">
        <v>326</v>
      </c>
      <c r="B26" s="142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536"/>
      <c r="P26" s="536"/>
      <c r="Q26" s="536"/>
      <c r="R26" s="536"/>
      <c r="S26" s="536"/>
      <c r="T26" s="536"/>
      <c r="U26" s="536"/>
      <c r="V26" s="536"/>
      <c r="W26" s="536"/>
      <c r="X26" s="536"/>
      <c r="Y26" s="536"/>
      <c r="Z26" s="536"/>
      <c r="AA26" s="536"/>
      <c r="AB26" s="536"/>
      <c r="AC26" s="712">
        <f>SUM(AC21:AC25)</f>
        <v>615178.75</v>
      </c>
      <c r="AD26" s="239">
        <f>SUM(AD21:AD25)</f>
        <v>14300</v>
      </c>
      <c r="AE26" s="239"/>
      <c r="AF26" s="239"/>
      <c r="AG26" s="713">
        <f>SUM(AG21:AG24)</f>
        <v>9581278.75</v>
      </c>
      <c r="AH26" s="714">
        <f>SUM(AH21:AH24)</f>
        <v>10835278.75</v>
      </c>
      <c r="AI26" s="714">
        <f>SUM(AI21:AI24)</f>
        <v>1254000</v>
      </c>
      <c r="AJ26" s="713">
        <f>AG26*0.15</f>
        <v>1437191.8125</v>
      </c>
      <c r="AK26" s="296"/>
      <c r="AL26" s="239"/>
      <c r="AM26" s="715">
        <f>SUM(AM21:AM25)</f>
        <v>0</v>
      </c>
      <c r="AN26" s="715">
        <f>SUM(AN21:AN25)</f>
        <v>0</v>
      </c>
      <c r="AO26" s="715">
        <f>SUM(AO21:AO25)</f>
        <v>0</v>
      </c>
      <c r="AP26" s="714">
        <f>SUM(AP21:AP25)</f>
        <v>0</v>
      </c>
      <c r="AQ26" s="241"/>
    </row>
    <row r="28" spans="1:43" ht="29">
      <c r="A28" s="839" t="s">
        <v>536</v>
      </c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</row>
    <row r="29" spans="1:43" customFormat="1" ht="22" thickBot="1">
      <c r="A29" s="840" t="s">
        <v>391</v>
      </c>
      <c r="B29" s="840"/>
      <c r="C29" s="840"/>
      <c r="D29" s="840"/>
      <c r="E29" s="840"/>
      <c r="F29" s="840"/>
      <c r="G29" s="840"/>
      <c r="H29" s="840"/>
      <c r="I29" s="840"/>
      <c r="J29" s="840"/>
      <c r="K29" s="840"/>
      <c r="L29" s="840"/>
      <c r="M29" s="840"/>
      <c r="N29" s="840"/>
      <c r="O29" s="840"/>
      <c r="P29" s="840"/>
      <c r="Q29" s="840"/>
      <c r="R29" s="840"/>
      <c r="S29" s="840"/>
      <c r="T29" s="840"/>
      <c r="U29" s="840"/>
      <c r="V29" s="840"/>
      <c r="W29" s="840"/>
      <c r="X29" s="840"/>
      <c r="Y29" s="840"/>
      <c r="Z29" s="658"/>
      <c r="AA29" s="658"/>
      <c r="AB29" s="658"/>
      <c r="AC29" s="658"/>
      <c r="AD29" s="849" t="s">
        <v>392</v>
      </c>
      <c r="AE29" s="849"/>
      <c r="AF29" s="849"/>
      <c r="AG29" s="849"/>
      <c r="AH29" s="849"/>
      <c r="AI29" s="849"/>
      <c r="AJ29" s="849"/>
      <c r="AK29" s="849"/>
      <c r="AL29" s="659"/>
      <c r="AM29" s="659"/>
      <c r="AN29" s="659"/>
      <c r="AO29" s="659"/>
      <c r="AP29" s="659"/>
      <c r="AQ29" s="659"/>
    </row>
    <row r="30" spans="1:43" customFormat="1" ht="16" thickBot="1">
      <c r="A30" s="233"/>
      <c r="B30" s="232"/>
      <c r="C30" s="234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5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841" t="s">
        <v>393</v>
      </c>
      <c r="AA30" s="842"/>
      <c r="AB30" s="842"/>
      <c r="AC30" s="842"/>
      <c r="AD30" s="842"/>
      <c r="AE30" s="842"/>
      <c r="AF30" s="842"/>
      <c r="AG30" s="842"/>
      <c r="AH30" s="842"/>
      <c r="AI30" s="842"/>
      <c r="AJ30" s="842"/>
      <c r="AK30" s="850"/>
      <c r="AL30" s="851" t="s">
        <v>394</v>
      </c>
      <c r="AM30" s="843"/>
      <c r="AN30" s="843"/>
      <c r="AO30" s="843"/>
      <c r="AP30" s="843"/>
      <c r="AQ30" s="844"/>
    </row>
    <row r="31" spans="1:43" customFormat="1" ht="16" thickBot="1">
      <c r="A31" s="301"/>
      <c r="B31" s="299"/>
      <c r="C31" s="300"/>
      <c r="D31" s="299"/>
      <c r="E31" s="299"/>
      <c r="F31" s="299"/>
      <c r="G31" s="299"/>
      <c r="H31" s="299"/>
      <c r="I31" s="299"/>
      <c r="J31" s="299"/>
      <c r="K31" s="299"/>
      <c r="L31" s="299"/>
      <c r="M31" s="299"/>
      <c r="N31" s="298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841" t="s">
        <v>395</v>
      </c>
      <c r="AA31" s="842"/>
      <c r="AB31" s="842"/>
      <c r="AC31" s="842"/>
      <c r="AD31" s="841" t="s">
        <v>396</v>
      </c>
      <c r="AE31" s="842"/>
      <c r="AF31" s="842"/>
      <c r="AG31" s="842"/>
      <c r="AH31" s="843"/>
      <c r="AI31" s="843"/>
      <c r="AJ31" s="843"/>
      <c r="AK31" s="844"/>
      <c r="AL31" s="660"/>
      <c r="AM31" s="661"/>
      <c r="AN31" s="661"/>
      <c r="AO31" s="661"/>
      <c r="AP31" s="661"/>
      <c r="AQ31" s="662"/>
    </row>
    <row r="32" spans="1:43" customFormat="1" ht="49" thickBot="1">
      <c r="A32" s="663" t="s">
        <v>397</v>
      </c>
      <c r="B32" s="664" t="s">
        <v>398</v>
      </c>
      <c r="C32" s="665" t="s">
        <v>267</v>
      </c>
      <c r="D32" s="666" t="s">
        <v>268</v>
      </c>
      <c r="E32" s="666" t="s">
        <v>269</v>
      </c>
      <c r="F32" s="666" t="s">
        <v>270</v>
      </c>
      <c r="G32" s="666" t="s">
        <v>271</v>
      </c>
      <c r="H32" s="666" t="s">
        <v>272</v>
      </c>
      <c r="I32" s="666" t="s">
        <v>273</v>
      </c>
      <c r="J32" s="666" t="s">
        <v>274</v>
      </c>
      <c r="K32" s="666" t="s">
        <v>275</v>
      </c>
      <c r="L32" s="666" t="s">
        <v>276</v>
      </c>
      <c r="M32" s="666" t="s">
        <v>277</v>
      </c>
      <c r="N32" s="667" t="s">
        <v>278</v>
      </c>
      <c r="O32" s="666" t="s">
        <v>279</v>
      </c>
      <c r="P32" s="666" t="s">
        <v>280</v>
      </c>
      <c r="Q32" s="666" t="s">
        <v>281</v>
      </c>
      <c r="R32" s="666" t="s">
        <v>282</v>
      </c>
      <c r="S32" s="666" t="s">
        <v>283</v>
      </c>
      <c r="T32" s="666" t="s">
        <v>284</v>
      </c>
      <c r="U32" s="666" t="s">
        <v>285</v>
      </c>
      <c r="V32" s="666" t="s">
        <v>286</v>
      </c>
      <c r="W32" s="666" t="s">
        <v>287</v>
      </c>
      <c r="X32" s="666" t="s">
        <v>288</v>
      </c>
      <c r="Y32" s="666" t="s">
        <v>290</v>
      </c>
      <c r="Z32" s="668" t="s">
        <v>399</v>
      </c>
      <c r="AA32" s="669" t="s">
        <v>400</v>
      </c>
      <c r="AB32" s="669" t="s">
        <v>401</v>
      </c>
      <c r="AC32" s="669" t="s">
        <v>402</v>
      </c>
      <c r="AD32" s="670" t="s">
        <v>403</v>
      </c>
      <c r="AE32" s="669" t="s">
        <v>404</v>
      </c>
      <c r="AF32" s="669" t="s">
        <v>405</v>
      </c>
      <c r="AG32" s="671" t="s">
        <v>406</v>
      </c>
      <c r="AH32" s="672" t="s">
        <v>407</v>
      </c>
      <c r="AI32" s="672" t="s">
        <v>186</v>
      </c>
      <c r="AJ32" s="845" t="s">
        <v>408</v>
      </c>
      <c r="AK32" s="673" t="s">
        <v>409</v>
      </c>
      <c r="AL32" s="673" t="s">
        <v>410</v>
      </c>
      <c r="AM32" s="674" t="s">
        <v>403</v>
      </c>
      <c r="AN32" s="675" t="s">
        <v>404</v>
      </c>
      <c r="AO32" s="675" t="s">
        <v>405</v>
      </c>
      <c r="AP32" s="672" t="s">
        <v>406</v>
      </c>
      <c r="AQ32" s="847" t="s">
        <v>514</v>
      </c>
    </row>
    <row r="33" spans="1:43" customFormat="1" ht="16" thickBot="1">
      <c r="A33" s="138"/>
      <c r="B33" s="139"/>
      <c r="C33" s="140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676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678"/>
      <c r="AA33" s="139"/>
      <c r="AB33" s="139"/>
      <c r="AC33" s="139"/>
      <c r="AD33" s="679"/>
      <c r="AE33" s="237"/>
      <c r="AF33" s="237"/>
      <c r="AG33" s="680"/>
      <c r="AH33" s="240"/>
      <c r="AI33" s="240"/>
      <c r="AJ33" s="846"/>
      <c r="AK33" s="681"/>
      <c r="AL33" s="682"/>
      <c r="AM33" s="683"/>
      <c r="AN33" s="684"/>
      <c r="AO33" s="684"/>
      <c r="AP33" s="685"/>
      <c r="AQ33" s="848"/>
    </row>
    <row r="34" spans="1:43" customFormat="1" ht="357" thickBot="1">
      <c r="A34" s="686" t="s">
        <v>243</v>
      </c>
      <c r="B34" s="687" t="s">
        <v>515</v>
      </c>
      <c r="C34" s="688"/>
      <c r="D34" s="688"/>
      <c r="E34" s="688"/>
      <c r="F34" s="688"/>
      <c r="G34" s="688"/>
      <c r="H34" s="688"/>
      <c r="I34" s="688"/>
      <c r="J34" s="688"/>
      <c r="K34" s="688"/>
      <c r="L34" s="688"/>
      <c r="M34" s="688"/>
      <c r="N34" s="689"/>
      <c r="O34" s="690" t="s">
        <v>516</v>
      </c>
      <c r="P34" s="688" t="s">
        <v>516</v>
      </c>
      <c r="Q34" s="688" t="s">
        <v>516</v>
      </c>
      <c r="R34" s="688" t="s">
        <v>516</v>
      </c>
      <c r="S34" s="691" t="s">
        <v>516</v>
      </c>
      <c r="T34" s="691" t="s">
        <v>516</v>
      </c>
      <c r="U34" s="691" t="s">
        <v>516</v>
      </c>
      <c r="V34" s="691" t="s">
        <v>516</v>
      </c>
      <c r="W34" s="691" t="s">
        <v>516</v>
      </c>
      <c r="X34" s="691" t="s">
        <v>516</v>
      </c>
      <c r="Y34" s="691" t="s">
        <v>516</v>
      </c>
      <c r="Z34" s="692"/>
      <c r="AA34" s="693"/>
      <c r="AB34" s="694"/>
      <c r="AC34" s="695"/>
      <c r="AD34" s="696">
        <v>1500</v>
      </c>
      <c r="AE34" s="563">
        <v>1800</v>
      </c>
      <c r="AF34" s="563">
        <v>640</v>
      </c>
      <c r="AG34" s="697">
        <f t="shared" ref="AG34:AG38" si="8">AD34*AF34+AC34</f>
        <v>960000</v>
      </c>
      <c r="AH34" s="698">
        <f t="shared" ref="AH34:AH38" si="9">AE34*AF34+AC34</f>
        <v>1152000</v>
      </c>
      <c r="AI34" s="698">
        <f t="shared" ref="AI34:AI38" si="10">AH34-AG34</f>
        <v>192000</v>
      </c>
      <c r="AJ34" s="846"/>
      <c r="AK34" s="721" t="s">
        <v>537</v>
      </c>
      <c r="AL34" s="503"/>
      <c r="AM34" s="504"/>
      <c r="AN34" s="563"/>
      <c r="AO34" s="563"/>
      <c r="AP34" s="500">
        <f t="shared" ref="AP34:AP38" si="11">AM34*AO34</f>
        <v>0</v>
      </c>
      <c r="AQ34" s="505"/>
    </row>
    <row r="35" spans="1:43" customFormat="1" ht="369" thickBot="1">
      <c r="A35" s="230" t="s">
        <v>244</v>
      </c>
      <c r="B35" s="687" t="s">
        <v>517</v>
      </c>
      <c r="C35" s="308"/>
      <c r="D35" s="309"/>
      <c r="E35" s="688"/>
      <c r="F35" s="688"/>
      <c r="G35" s="688"/>
      <c r="H35" s="688" t="s">
        <v>516</v>
      </c>
      <c r="I35" s="688" t="s">
        <v>516</v>
      </c>
      <c r="J35" s="688" t="s">
        <v>516</v>
      </c>
      <c r="K35" s="688" t="s">
        <v>516</v>
      </c>
      <c r="L35" s="688" t="s">
        <v>516</v>
      </c>
      <c r="M35" s="688" t="s">
        <v>516</v>
      </c>
      <c r="N35" s="689" t="s">
        <v>516</v>
      </c>
      <c r="O35" s="690" t="s">
        <v>516</v>
      </c>
      <c r="P35" s="688" t="s">
        <v>516</v>
      </c>
      <c r="Q35" s="688" t="s">
        <v>516</v>
      </c>
      <c r="R35" s="688" t="s">
        <v>516</v>
      </c>
      <c r="S35" s="691" t="s">
        <v>516</v>
      </c>
      <c r="T35" s="691" t="s">
        <v>516</v>
      </c>
      <c r="U35" s="691" t="s">
        <v>516</v>
      </c>
      <c r="V35" s="691" t="s">
        <v>516</v>
      </c>
      <c r="W35" s="691" t="s">
        <v>516</v>
      </c>
      <c r="X35" s="691" t="s">
        <v>516</v>
      </c>
      <c r="Y35" s="691" t="s">
        <v>516</v>
      </c>
      <c r="Z35" s="692" t="s">
        <v>518</v>
      </c>
      <c r="AA35" s="693">
        <v>1</v>
      </c>
      <c r="AB35" s="694">
        <v>378678.75</v>
      </c>
      <c r="AC35" s="695">
        <v>378678.75</v>
      </c>
      <c r="AD35" s="696">
        <v>3500</v>
      </c>
      <c r="AE35" s="563">
        <v>4000</v>
      </c>
      <c r="AF35" s="563">
        <v>640</v>
      </c>
      <c r="AG35" s="697">
        <f t="shared" si="8"/>
        <v>2618678.75</v>
      </c>
      <c r="AH35" s="698">
        <f t="shared" si="9"/>
        <v>2938678.75</v>
      </c>
      <c r="AI35" s="698">
        <f t="shared" si="10"/>
        <v>320000</v>
      </c>
      <c r="AJ35" s="846"/>
      <c r="AK35" s="721" t="s">
        <v>537</v>
      </c>
      <c r="AL35" s="504"/>
      <c r="AM35" s="504"/>
      <c r="AN35" s="563"/>
      <c r="AO35" s="563"/>
      <c r="AP35" s="500">
        <f t="shared" si="11"/>
        <v>0</v>
      </c>
      <c r="AQ35" s="506"/>
    </row>
    <row r="36" spans="1:43" customFormat="1" ht="381" thickBot="1">
      <c r="A36" s="686" t="s">
        <v>331</v>
      </c>
      <c r="B36" s="687" t="s">
        <v>519</v>
      </c>
      <c r="C36" s="699" t="s">
        <v>516</v>
      </c>
      <c r="D36" s="691" t="s">
        <v>516</v>
      </c>
      <c r="E36" s="691" t="s">
        <v>516</v>
      </c>
      <c r="F36" s="691" t="s">
        <v>516</v>
      </c>
      <c r="G36" s="691" t="s">
        <v>516</v>
      </c>
      <c r="H36" s="688" t="s">
        <v>516</v>
      </c>
      <c r="I36" s="688" t="s">
        <v>516</v>
      </c>
      <c r="J36" s="688" t="s">
        <v>516</v>
      </c>
      <c r="K36" s="688" t="s">
        <v>516</v>
      </c>
      <c r="L36" s="688" t="s">
        <v>516</v>
      </c>
      <c r="M36" s="688" t="s">
        <v>516</v>
      </c>
      <c r="N36" s="689" t="s">
        <v>516</v>
      </c>
      <c r="O36" s="690" t="s">
        <v>516</v>
      </c>
      <c r="P36" s="688" t="s">
        <v>516</v>
      </c>
      <c r="Q36" s="688" t="s">
        <v>516</v>
      </c>
      <c r="R36" s="688" t="s">
        <v>516</v>
      </c>
      <c r="S36" s="691" t="s">
        <v>516</v>
      </c>
      <c r="T36" s="691" t="s">
        <v>516</v>
      </c>
      <c r="U36" s="691" t="s">
        <v>516</v>
      </c>
      <c r="V36" s="691" t="s">
        <v>516</v>
      </c>
      <c r="W36" s="691" t="s">
        <v>516</v>
      </c>
      <c r="X36" s="691" t="s">
        <v>516</v>
      </c>
      <c r="Y36" s="691" t="s">
        <v>516</v>
      </c>
      <c r="Z36" s="700" t="s">
        <v>520</v>
      </c>
      <c r="AA36" s="693">
        <v>1</v>
      </c>
      <c r="AB36" s="694">
        <v>236500</v>
      </c>
      <c r="AC36" s="695">
        <f>AA36*AB36</f>
        <v>236500</v>
      </c>
      <c r="AD36" s="696">
        <v>5300</v>
      </c>
      <c r="AE36" s="563">
        <v>5800</v>
      </c>
      <c r="AF36" s="563">
        <v>640</v>
      </c>
      <c r="AG36" s="697">
        <f t="shared" si="8"/>
        <v>3628500</v>
      </c>
      <c r="AH36" s="698">
        <f t="shared" si="9"/>
        <v>3948500</v>
      </c>
      <c r="AI36" s="698">
        <f t="shared" si="10"/>
        <v>320000</v>
      </c>
      <c r="AJ36" s="846"/>
      <c r="AK36" s="721" t="s">
        <v>537</v>
      </c>
      <c r="AL36" s="504"/>
      <c r="AM36" s="504"/>
      <c r="AN36" s="563"/>
      <c r="AO36" s="563"/>
      <c r="AP36" s="500">
        <f t="shared" si="11"/>
        <v>0</v>
      </c>
      <c r="AQ36" s="506"/>
    </row>
    <row r="37" spans="1:43" customFormat="1" ht="130">
      <c r="A37" s="230" t="s">
        <v>333</v>
      </c>
      <c r="B37" s="687" t="s">
        <v>521</v>
      </c>
      <c r="C37" s="308"/>
      <c r="D37" s="309"/>
      <c r="E37" s="309"/>
      <c r="F37" s="309"/>
      <c r="G37" s="309"/>
      <c r="H37" s="688"/>
      <c r="I37" s="688"/>
      <c r="J37" s="688"/>
      <c r="K37" s="688" t="s">
        <v>516</v>
      </c>
      <c r="L37" s="688" t="s">
        <v>516</v>
      </c>
      <c r="M37" s="688" t="s">
        <v>516</v>
      </c>
      <c r="N37" s="689" t="s">
        <v>516</v>
      </c>
      <c r="O37" s="690" t="s">
        <v>516</v>
      </c>
      <c r="P37" s="688" t="s">
        <v>516</v>
      </c>
      <c r="Q37" s="688" t="s">
        <v>516</v>
      </c>
      <c r="R37" s="688" t="s">
        <v>516</v>
      </c>
      <c r="S37" s="691" t="s">
        <v>516</v>
      </c>
      <c r="T37" s="691" t="s">
        <v>516</v>
      </c>
      <c r="U37" s="691" t="s">
        <v>516</v>
      </c>
      <c r="V37" s="691" t="s">
        <v>516</v>
      </c>
      <c r="W37" s="691" t="s">
        <v>516</v>
      </c>
      <c r="X37" s="691" t="s">
        <v>516</v>
      </c>
      <c r="Y37" s="691" t="s">
        <v>516</v>
      </c>
      <c r="Z37" s="692"/>
      <c r="AA37" s="693"/>
      <c r="AB37" s="694"/>
      <c r="AC37" s="695"/>
      <c r="AD37" s="696">
        <v>2000</v>
      </c>
      <c r="AE37" s="563">
        <v>2400</v>
      </c>
      <c r="AF37" s="563">
        <v>640</v>
      </c>
      <c r="AG37" s="697">
        <f t="shared" si="8"/>
        <v>1280000</v>
      </c>
      <c r="AH37" s="698">
        <f t="shared" si="9"/>
        <v>1536000</v>
      </c>
      <c r="AI37" s="698">
        <f t="shared" si="10"/>
        <v>256000</v>
      </c>
      <c r="AJ37" s="846"/>
      <c r="AK37" s="721" t="s">
        <v>537</v>
      </c>
      <c r="AL37" s="504"/>
      <c r="AM37" s="504"/>
      <c r="AN37" s="563"/>
      <c r="AO37" s="563"/>
      <c r="AP37" s="500">
        <f t="shared" si="11"/>
        <v>0</v>
      </c>
      <c r="AQ37" s="506"/>
    </row>
    <row r="38" spans="1:43" customFormat="1" ht="27" thickBot="1">
      <c r="A38" s="231" t="s">
        <v>411</v>
      </c>
      <c r="B38" s="701" t="s">
        <v>522</v>
      </c>
      <c r="C38" s="699" t="s">
        <v>516</v>
      </c>
      <c r="D38" s="691" t="s">
        <v>516</v>
      </c>
      <c r="E38" s="691" t="s">
        <v>516</v>
      </c>
      <c r="F38" s="691" t="s">
        <v>516</v>
      </c>
      <c r="G38" s="691" t="s">
        <v>516</v>
      </c>
      <c r="H38" s="688" t="s">
        <v>516</v>
      </c>
      <c r="I38" s="688" t="s">
        <v>516</v>
      </c>
      <c r="J38" s="688" t="s">
        <v>516</v>
      </c>
      <c r="K38" s="688" t="s">
        <v>516</v>
      </c>
      <c r="L38" s="688" t="s">
        <v>516</v>
      </c>
      <c r="M38" s="688" t="s">
        <v>516</v>
      </c>
      <c r="N38" s="689" t="s">
        <v>516</v>
      </c>
      <c r="O38" s="702" t="s">
        <v>516</v>
      </c>
      <c r="P38" s="703" t="s">
        <v>516</v>
      </c>
      <c r="Q38" s="703" t="s">
        <v>516</v>
      </c>
      <c r="R38" s="703" t="s">
        <v>516</v>
      </c>
      <c r="S38" s="704" t="s">
        <v>516</v>
      </c>
      <c r="T38" s="704" t="s">
        <v>516</v>
      </c>
      <c r="U38" s="704" t="s">
        <v>516</v>
      </c>
      <c r="V38" s="704" t="s">
        <v>516</v>
      </c>
      <c r="W38" s="704" t="s">
        <v>516</v>
      </c>
      <c r="X38" s="704" t="s">
        <v>516</v>
      </c>
      <c r="Y38" s="704" t="s">
        <v>516</v>
      </c>
      <c r="Z38" s="705" t="s">
        <v>84</v>
      </c>
      <c r="AA38" s="706" t="s">
        <v>84</v>
      </c>
      <c r="AB38" s="707" t="s">
        <v>84</v>
      </c>
      <c r="AC38" s="708" t="s">
        <v>84</v>
      </c>
      <c r="AD38" s="710" t="s">
        <v>84</v>
      </c>
      <c r="AE38" s="710" t="s">
        <v>84</v>
      </c>
      <c r="AF38" s="710" t="s">
        <v>84</v>
      </c>
      <c r="AG38" s="711" t="e">
        <f t="shared" si="8"/>
        <v>#VALUE!</v>
      </c>
      <c r="AH38" s="698" t="e">
        <f t="shared" si="9"/>
        <v>#VALUE!</v>
      </c>
      <c r="AI38" s="698" t="e">
        <f t="shared" si="10"/>
        <v>#VALUE!</v>
      </c>
      <c r="AJ38" s="846"/>
      <c r="AK38" s="506"/>
      <c r="AL38" s="504"/>
      <c r="AM38" s="504"/>
      <c r="AN38" s="563"/>
      <c r="AO38" s="563"/>
      <c r="AP38" s="500">
        <f t="shared" si="11"/>
        <v>0</v>
      </c>
      <c r="AQ38" s="506"/>
    </row>
    <row r="39" spans="1:43" customFormat="1" ht="16" thickBot="1">
      <c r="A39" s="225" t="s">
        <v>326</v>
      </c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536"/>
      <c r="P39" s="536"/>
      <c r="Q39" s="536"/>
      <c r="R39" s="536"/>
      <c r="S39" s="536"/>
      <c r="T39" s="536"/>
      <c r="U39" s="536"/>
      <c r="V39" s="536"/>
      <c r="W39" s="536"/>
      <c r="X39" s="536"/>
      <c r="Y39" s="536"/>
      <c r="Z39" s="536"/>
      <c r="AA39" s="536"/>
      <c r="AB39" s="536"/>
      <c r="AC39" s="712">
        <f>SUM(AC34:AC38)</f>
        <v>615178.75</v>
      </c>
      <c r="AD39" s="239">
        <f>SUM(AD34:AD38)</f>
        <v>12300</v>
      </c>
      <c r="AE39" s="239"/>
      <c r="AF39" s="239"/>
      <c r="AG39" s="713">
        <f>SUM(AG34:AG37)</f>
        <v>8487178.75</v>
      </c>
      <c r="AH39" s="714">
        <f>SUM(AH34:AH37)</f>
        <v>9575178.75</v>
      </c>
      <c r="AI39" s="714">
        <f>SUM(AI34:AI37)</f>
        <v>1088000</v>
      </c>
      <c r="AJ39" s="713">
        <f>AG39*0.13</f>
        <v>1103333.2375</v>
      </c>
      <c r="AK39" s="296"/>
      <c r="AL39" s="239"/>
      <c r="AM39" s="715">
        <f>SUM(AM34:AM38)</f>
        <v>0</v>
      </c>
      <c r="AN39" s="715">
        <f>SUM(AN34:AN38)</f>
        <v>0</v>
      </c>
      <c r="AO39" s="715">
        <f>SUM(AO34:AO38)</f>
        <v>0</v>
      </c>
      <c r="AP39" s="714">
        <f>SUM(AP34:AP38)</f>
        <v>0</v>
      </c>
      <c r="AQ39" s="241"/>
    </row>
    <row r="41" spans="1:43" customFormat="1" ht="15">
      <c r="A41" s="719" t="s">
        <v>526</v>
      </c>
      <c r="B41" s="720"/>
    </row>
    <row r="42" spans="1:43" customFormat="1" ht="15">
      <c r="A42" s="719" t="s">
        <v>527</v>
      </c>
      <c r="B42" s="720"/>
    </row>
    <row r="43" spans="1:43" customFormat="1" ht="15"/>
    <row r="44" spans="1:43" customFormat="1" ht="15">
      <c r="A44" t="s">
        <v>528</v>
      </c>
    </row>
    <row r="45" spans="1:43" customFormat="1" ht="61.25" customHeight="1">
      <c r="A45" s="800" t="s">
        <v>529</v>
      </c>
      <c r="B45" s="800"/>
    </row>
    <row r="46" spans="1:43" customFormat="1" ht="59" customHeight="1">
      <c r="A46" s="800" t="s">
        <v>530</v>
      </c>
      <c r="B46" s="800"/>
    </row>
    <row r="47" spans="1:43" customFormat="1" ht="76.5" customHeight="1">
      <c r="A47" s="838" t="s">
        <v>531</v>
      </c>
      <c r="B47" s="800"/>
    </row>
    <row r="48" spans="1:43" customFormat="1" ht="62.5" customHeight="1">
      <c r="A48" s="838" t="s">
        <v>532</v>
      </c>
      <c r="B48" s="800"/>
    </row>
    <row r="49" spans="1:2" customFormat="1" ht="28" customHeight="1">
      <c r="A49" s="800" t="s">
        <v>533</v>
      </c>
      <c r="B49" s="800"/>
    </row>
    <row r="50" spans="1:2" customFormat="1" ht="15"/>
    <row r="51" spans="1:2" customFormat="1" ht="15">
      <c r="A51" t="s">
        <v>534</v>
      </c>
    </row>
    <row r="52" spans="1:2" customFormat="1" ht="15">
      <c r="A52" s="552" t="s">
        <v>535</v>
      </c>
    </row>
  </sheetData>
  <mergeCells count="32">
    <mergeCell ref="Z4:AC4"/>
    <mergeCell ref="AD4:AK4"/>
    <mergeCell ref="AJ5:AJ11"/>
    <mergeCell ref="AQ5:AQ6"/>
    <mergeCell ref="A1:Y1"/>
    <mergeCell ref="A2:Y2"/>
    <mergeCell ref="AD2:AK2"/>
    <mergeCell ref="Z3:AK3"/>
    <mergeCell ref="AL3:AQ3"/>
    <mergeCell ref="A15:Y15"/>
    <mergeCell ref="A16:Y16"/>
    <mergeCell ref="AD16:AK16"/>
    <mergeCell ref="Z17:AK17"/>
    <mergeCell ref="AL17:AQ17"/>
    <mergeCell ref="Z18:AC18"/>
    <mergeCell ref="AD18:AK18"/>
    <mergeCell ref="AJ19:AJ25"/>
    <mergeCell ref="AQ19:AQ20"/>
    <mergeCell ref="A45:B45"/>
    <mergeCell ref="AD29:AK29"/>
    <mergeCell ref="Z30:AK30"/>
    <mergeCell ref="AL30:AQ30"/>
    <mergeCell ref="Z31:AC31"/>
    <mergeCell ref="AD31:AK31"/>
    <mergeCell ref="AJ32:AJ38"/>
    <mergeCell ref="AQ32:AQ33"/>
    <mergeCell ref="A46:B46"/>
    <mergeCell ref="A47:B47"/>
    <mergeCell ref="A48:B48"/>
    <mergeCell ref="A49:B49"/>
    <mergeCell ref="A28:Y28"/>
    <mergeCell ref="A29:Y29"/>
  </mergeCells>
  <conditionalFormatting sqref="C7:N7">
    <cfRule type="colorScale" priority="24">
      <colorScale>
        <cfvo type="num" val="0"/>
        <cfvo type="num" val="1"/>
        <color theme="0"/>
        <color theme="2" tint="-0.249977111117893"/>
      </colorScale>
    </cfRule>
  </conditionalFormatting>
  <conditionalFormatting sqref="E8:R8">
    <cfRule type="colorScale" priority="23">
      <colorScale>
        <cfvo type="num" val="0"/>
        <cfvo type="num" val="1"/>
        <color theme="0"/>
        <color theme="2" tint="-0.249977111117893"/>
      </colorScale>
    </cfRule>
  </conditionalFormatting>
  <conditionalFormatting sqref="H9:W9">
    <cfRule type="colorScale" priority="22">
      <colorScale>
        <cfvo type="num" val="0"/>
        <cfvo type="num" val="1"/>
        <color theme="0"/>
        <color theme="2" tint="-0.249977111117893"/>
      </colorScale>
    </cfRule>
  </conditionalFormatting>
  <conditionalFormatting sqref="H10:Y10">
    <cfRule type="colorScale" priority="21">
      <colorScale>
        <cfvo type="num" val="0"/>
        <cfvo type="num" val="1"/>
        <color theme="0"/>
        <color theme="2" tint="-0.249977111117893"/>
      </colorScale>
    </cfRule>
  </conditionalFormatting>
  <conditionalFormatting sqref="S8:V8">
    <cfRule type="colorScale" priority="20">
      <colorScale>
        <cfvo type="num" val="0"/>
        <cfvo type="num" val="1"/>
        <color theme="0"/>
        <color theme="2" tint="-0.249977111117893"/>
      </colorScale>
    </cfRule>
  </conditionalFormatting>
  <conditionalFormatting sqref="X11:Y11 C11:G11">
    <cfRule type="colorScale" priority="18">
      <colorScale>
        <cfvo type="num" val="0"/>
        <cfvo type="num" val="1"/>
        <color theme="0"/>
        <color theme="2" tint="-0.249977111117893"/>
      </colorScale>
    </cfRule>
  </conditionalFormatting>
  <conditionalFormatting sqref="H11:W11">
    <cfRule type="colorScale" priority="17">
      <colorScale>
        <cfvo type="num" val="0"/>
        <cfvo type="num" val="1"/>
        <color theme="0"/>
        <color theme="2" tint="-0.249977111117893"/>
      </colorScale>
    </cfRule>
  </conditionalFormatting>
  <conditionalFormatting sqref="O7:Y7">
    <cfRule type="colorScale" priority="19">
      <colorScale>
        <cfvo type="num" val="0"/>
        <cfvo type="num" val="1"/>
        <color theme="0"/>
        <color theme="2" tint="-0.249977111117893"/>
      </colorScale>
    </cfRule>
  </conditionalFormatting>
  <conditionalFormatting sqref="C21:N21">
    <cfRule type="colorScale" priority="16">
      <colorScale>
        <cfvo type="num" val="0"/>
        <cfvo type="num" val="1"/>
        <color theme="0"/>
        <color theme="2" tint="-0.249977111117893"/>
      </colorScale>
    </cfRule>
  </conditionalFormatting>
  <conditionalFormatting sqref="E22:R22">
    <cfRule type="colorScale" priority="15">
      <colorScale>
        <cfvo type="num" val="0"/>
        <cfvo type="num" val="1"/>
        <color theme="0"/>
        <color theme="2" tint="-0.249977111117893"/>
      </colorScale>
    </cfRule>
  </conditionalFormatting>
  <conditionalFormatting sqref="H23:W23">
    <cfRule type="colorScale" priority="14">
      <colorScale>
        <cfvo type="num" val="0"/>
        <cfvo type="num" val="1"/>
        <color theme="0"/>
        <color theme="2" tint="-0.249977111117893"/>
      </colorScale>
    </cfRule>
  </conditionalFormatting>
  <conditionalFormatting sqref="H24:Y24">
    <cfRule type="colorScale" priority="13">
      <colorScale>
        <cfvo type="num" val="0"/>
        <cfvo type="num" val="1"/>
        <color theme="0"/>
        <color theme="2" tint="-0.249977111117893"/>
      </colorScale>
    </cfRule>
  </conditionalFormatting>
  <conditionalFormatting sqref="S22:V22">
    <cfRule type="colorScale" priority="12">
      <colorScale>
        <cfvo type="num" val="0"/>
        <cfvo type="num" val="1"/>
        <color theme="0"/>
        <color theme="2" tint="-0.249977111117893"/>
      </colorScale>
    </cfRule>
  </conditionalFormatting>
  <conditionalFormatting sqref="X25:Y25 C25:G25">
    <cfRule type="colorScale" priority="10">
      <colorScale>
        <cfvo type="num" val="0"/>
        <cfvo type="num" val="1"/>
        <color theme="0"/>
        <color theme="2" tint="-0.249977111117893"/>
      </colorScale>
    </cfRule>
  </conditionalFormatting>
  <conditionalFormatting sqref="H25:W25">
    <cfRule type="colorScale" priority="9">
      <colorScale>
        <cfvo type="num" val="0"/>
        <cfvo type="num" val="1"/>
        <color theme="0"/>
        <color theme="2" tint="-0.249977111117893"/>
      </colorScale>
    </cfRule>
  </conditionalFormatting>
  <conditionalFormatting sqref="O21:Y21">
    <cfRule type="colorScale" priority="11">
      <colorScale>
        <cfvo type="num" val="0"/>
        <cfvo type="num" val="1"/>
        <color theme="0"/>
        <color theme="2" tint="-0.249977111117893"/>
      </colorScale>
    </cfRule>
  </conditionalFormatting>
  <conditionalFormatting sqref="C34:N34">
    <cfRule type="colorScale" priority="8">
      <colorScale>
        <cfvo type="num" val="0"/>
        <cfvo type="num" val="1"/>
        <color theme="0"/>
        <color theme="2" tint="-0.249977111117893"/>
      </colorScale>
    </cfRule>
  </conditionalFormatting>
  <conditionalFormatting sqref="E35:R35">
    <cfRule type="colorScale" priority="7">
      <colorScale>
        <cfvo type="num" val="0"/>
        <cfvo type="num" val="1"/>
        <color theme="0"/>
        <color theme="2" tint="-0.249977111117893"/>
      </colorScale>
    </cfRule>
  </conditionalFormatting>
  <conditionalFormatting sqref="H36:W36">
    <cfRule type="colorScale" priority="6">
      <colorScale>
        <cfvo type="num" val="0"/>
        <cfvo type="num" val="1"/>
        <color theme="0"/>
        <color theme="2" tint="-0.249977111117893"/>
      </colorScale>
    </cfRule>
  </conditionalFormatting>
  <conditionalFormatting sqref="H37:Y37">
    <cfRule type="colorScale" priority="5">
      <colorScale>
        <cfvo type="num" val="0"/>
        <cfvo type="num" val="1"/>
        <color theme="0"/>
        <color theme="2" tint="-0.249977111117893"/>
      </colorScale>
    </cfRule>
  </conditionalFormatting>
  <conditionalFormatting sqref="S35:V35">
    <cfRule type="colorScale" priority="4">
      <colorScale>
        <cfvo type="num" val="0"/>
        <cfvo type="num" val="1"/>
        <color theme="0"/>
        <color theme="2" tint="-0.249977111117893"/>
      </colorScale>
    </cfRule>
  </conditionalFormatting>
  <conditionalFormatting sqref="X38:Y38 C38:G38">
    <cfRule type="colorScale" priority="2">
      <colorScale>
        <cfvo type="num" val="0"/>
        <cfvo type="num" val="1"/>
        <color theme="0"/>
        <color theme="2" tint="-0.249977111117893"/>
      </colorScale>
    </cfRule>
  </conditionalFormatting>
  <conditionalFormatting sqref="H38:W38">
    <cfRule type="colorScale" priority="1">
      <colorScale>
        <cfvo type="num" val="0"/>
        <cfvo type="num" val="1"/>
        <color theme="0"/>
        <color theme="2" tint="-0.249977111117893"/>
      </colorScale>
    </cfRule>
  </conditionalFormatting>
  <conditionalFormatting sqref="O34:Y34">
    <cfRule type="colorScale" priority="3">
      <colorScale>
        <cfvo type="num" val="0"/>
        <cfvo type="num" val="1"/>
        <color theme="0"/>
        <color theme="2" tint="-0.249977111117893"/>
      </colorScale>
    </cfRule>
  </conditionalFormatting>
  <hyperlinks>
    <hyperlink ref="A52" r:id="rId1" xr:uid="{2A3A1176-5CC2-3F48-91A0-D052F5057219}"/>
  </hyperlinks>
  <pageMargins left="0.7" right="0.7" top="0.75" bottom="0.75" header="0.3" footer="0.3"/>
  <pageSetup paperSize="9" scale="19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CC"/>
  </sheetPr>
  <dimension ref="A1:D14"/>
  <sheetViews>
    <sheetView topLeftCell="A4" zoomScaleNormal="100" zoomScaleSheetLayoutView="100" workbookViewId="0">
      <selection activeCell="D8" sqref="D8:D9"/>
    </sheetView>
  </sheetViews>
  <sheetFormatPr baseColWidth="10" defaultColWidth="8.83203125" defaultRowHeight="15"/>
  <cols>
    <col min="1" max="1" width="32.33203125" style="4" customWidth="1"/>
    <col min="2" max="2" width="66.6640625" style="4" customWidth="1"/>
    <col min="3" max="3" width="14.33203125" style="6" customWidth="1"/>
    <col min="4" max="4" width="23.5" style="4" customWidth="1"/>
    <col min="5" max="16384" width="8.83203125" style="4"/>
  </cols>
  <sheetData>
    <row r="1" spans="1:4" ht="17" thickTop="1" thickBot="1">
      <c r="A1" s="1" t="s">
        <v>217</v>
      </c>
      <c r="B1" s="2" t="s">
        <v>266</v>
      </c>
      <c r="C1" s="5" t="s">
        <v>185</v>
      </c>
      <c r="D1" s="3" t="s">
        <v>412</v>
      </c>
    </row>
    <row r="2" spans="1:4" ht="147" customHeight="1" thickTop="1" thickBot="1">
      <c r="A2" s="656" t="s">
        <v>413</v>
      </c>
      <c r="B2" s="462" t="s">
        <v>414</v>
      </c>
      <c r="C2" s="463" t="s">
        <v>415</v>
      </c>
      <c r="D2" s="182">
        <v>10</v>
      </c>
    </row>
    <row r="3" spans="1:4" ht="41.5" customHeight="1">
      <c r="A3" s="860" t="s">
        <v>416</v>
      </c>
      <c r="B3" s="871" t="s">
        <v>417</v>
      </c>
      <c r="C3" s="873" t="s">
        <v>147</v>
      </c>
      <c r="D3" s="862">
        <v>0.04</v>
      </c>
    </row>
    <row r="4" spans="1:4" ht="63" customHeight="1" thickBot="1">
      <c r="A4" s="861"/>
      <c r="B4" s="872"/>
      <c r="C4" s="874"/>
      <c r="D4" s="863"/>
    </row>
    <row r="5" spans="1:4" ht="30">
      <c r="A5" s="860" t="s">
        <v>418</v>
      </c>
      <c r="B5" s="464" t="s">
        <v>419</v>
      </c>
      <c r="C5" s="873" t="s">
        <v>147</v>
      </c>
      <c r="D5" s="864">
        <v>0.05</v>
      </c>
    </row>
    <row r="6" spans="1:4" ht="46" thickBot="1">
      <c r="A6" s="861"/>
      <c r="B6" s="462" t="s">
        <v>420</v>
      </c>
      <c r="C6" s="874"/>
      <c r="D6" s="865"/>
    </row>
    <row r="7" spans="1:4" ht="31" thickBot="1">
      <c r="A7" s="465" t="s">
        <v>421</v>
      </c>
      <c r="B7" s="466" t="s">
        <v>422</v>
      </c>
      <c r="C7" s="467" t="s">
        <v>190</v>
      </c>
      <c r="D7" s="181">
        <v>1215</v>
      </c>
    </row>
    <row r="8" spans="1:4" ht="15" customHeight="1">
      <c r="A8" s="866" t="s">
        <v>423</v>
      </c>
      <c r="B8" s="856" t="s">
        <v>424</v>
      </c>
      <c r="C8" s="875" t="s">
        <v>425</v>
      </c>
      <c r="D8" s="868">
        <f>$D$7*1.352/(D12/12)</f>
        <v>10.070068965517242</v>
      </c>
    </row>
    <row r="9" spans="1:4" ht="57" customHeight="1" thickBot="1">
      <c r="A9" s="867"/>
      <c r="B9" s="870"/>
      <c r="C9" s="876"/>
      <c r="D9" s="869"/>
    </row>
    <row r="10" spans="1:4">
      <c r="A10" s="854" t="s">
        <v>426</v>
      </c>
      <c r="B10" s="856" t="s">
        <v>427</v>
      </c>
      <c r="C10" s="852" t="s">
        <v>425</v>
      </c>
      <c r="D10" s="858">
        <v>5.55</v>
      </c>
    </row>
    <row r="11" spans="1:4" ht="20.25" customHeight="1" thickBot="1">
      <c r="A11" s="855"/>
      <c r="B11" s="857"/>
      <c r="C11" s="853"/>
      <c r="D11" s="859"/>
    </row>
    <row r="12" spans="1:4" ht="72" customHeight="1" thickBot="1">
      <c r="A12" s="468" t="s">
        <v>428</v>
      </c>
      <c r="B12" s="466" t="s">
        <v>429</v>
      </c>
      <c r="C12" s="469" t="s">
        <v>430</v>
      </c>
      <c r="D12" s="471">
        <v>1957.5</v>
      </c>
    </row>
    <row r="13" spans="1:4" ht="72" customHeight="1" thickBot="1">
      <c r="A13" s="468" t="s">
        <v>431</v>
      </c>
      <c r="B13" s="466" t="s">
        <v>432</v>
      </c>
      <c r="C13" s="469" t="s">
        <v>430</v>
      </c>
      <c r="D13" s="470">
        <v>2088</v>
      </c>
    </row>
    <row r="14" spans="1:4" ht="21" customHeight="1" thickBot="1">
      <c r="A14" s="468" t="s">
        <v>115</v>
      </c>
      <c r="B14" s="468" t="s">
        <v>433</v>
      </c>
      <c r="C14" s="469" t="s">
        <v>415</v>
      </c>
      <c r="D14" s="103">
        <v>2019</v>
      </c>
    </row>
  </sheetData>
  <mergeCells count="15">
    <mergeCell ref="C10:C11"/>
    <mergeCell ref="A10:A11"/>
    <mergeCell ref="B10:B11"/>
    <mergeCell ref="D10:D11"/>
    <mergeCell ref="A3:A4"/>
    <mergeCell ref="D3:D4"/>
    <mergeCell ref="A5:A6"/>
    <mergeCell ref="D5:D6"/>
    <mergeCell ref="A8:A9"/>
    <mergeCell ref="D8:D9"/>
    <mergeCell ref="B8:B9"/>
    <mergeCell ref="B3:B4"/>
    <mergeCell ref="C3:C4"/>
    <mergeCell ref="C8:C9"/>
    <mergeCell ref="C5:C6"/>
  </mergeCells>
  <pageMargins left="0.7" right="0.7" top="0.75" bottom="0.75" header="0.3" footer="0.3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1"/>
  <sheetViews>
    <sheetView zoomScaleNormal="100" zoomScaleSheetLayoutView="100" workbookViewId="0"/>
  </sheetViews>
  <sheetFormatPr baseColWidth="10" defaultColWidth="8.83203125" defaultRowHeight="15"/>
  <cols>
    <col min="1" max="1" width="25.5" customWidth="1"/>
    <col min="2" max="2" width="79" bestFit="1" customWidth="1"/>
    <col min="3" max="3" width="70" bestFit="1" customWidth="1"/>
  </cols>
  <sheetData>
    <row r="1" spans="1:3" ht="20" thickBot="1">
      <c r="A1" s="295" t="s">
        <v>26</v>
      </c>
    </row>
    <row r="2" spans="1:3" ht="16" thickBot="1">
      <c r="A2" s="302" t="s">
        <v>27</v>
      </c>
      <c r="B2" s="303" t="s">
        <v>28</v>
      </c>
      <c r="C2" s="304" t="s">
        <v>29</v>
      </c>
    </row>
    <row r="3" spans="1:3">
      <c r="A3" s="311" t="s">
        <v>30</v>
      </c>
      <c r="B3" s="305" t="s">
        <v>31</v>
      </c>
      <c r="C3" s="229" t="s">
        <v>32</v>
      </c>
    </row>
    <row r="4" spans="1:3">
      <c r="A4" s="312" t="s">
        <v>33</v>
      </c>
      <c r="B4" s="306" t="s">
        <v>34</v>
      </c>
      <c r="C4" s="307" t="s">
        <v>35</v>
      </c>
    </row>
    <row r="5" spans="1:3">
      <c r="A5" s="312" t="s">
        <v>36</v>
      </c>
      <c r="B5" s="306" t="s">
        <v>37</v>
      </c>
      <c r="C5" s="307" t="s">
        <v>35</v>
      </c>
    </row>
    <row r="6" spans="1:3">
      <c r="A6" s="312" t="s">
        <v>38</v>
      </c>
      <c r="B6" s="306" t="s">
        <v>39</v>
      </c>
      <c r="C6" s="227" t="s">
        <v>40</v>
      </c>
    </row>
    <row r="7" spans="1:3">
      <c r="A7" s="312" t="s">
        <v>41</v>
      </c>
      <c r="B7" s="306" t="s">
        <v>42</v>
      </c>
      <c r="C7" s="307" t="s">
        <v>35</v>
      </c>
    </row>
    <row r="8" spans="1:3">
      <c r="A8" s="312" t="s">
        <v>43</v>
      </c>
      <c r="B8" s="306" t="s">
        <v>44</v>
      </c>
      <c r="C8" s="227" t="s">
        <v>45</v>
      </c>
    </row>
    <row r="9" spans="1:3">
      <c r="A9" s="312" t="s">
        <v>46</v>
      </c>
      <c r="B9" s="306" t="s">
        <v>47</v>
      </c>
      <c r="C9" s="307" t="s">
        <v>35</v>
      </c>
    </row>
    <row r="10" spans="1:3">
      <c r="A10" s="312" t="s">
        <v>48</v>
      </c>
      <c r="B10" s="306" t="s">
        <v>49</v>
      </c>
      <c r="C10" s="227" t="s">
        <v>45</v>
      </c>
    </row>
    <row r="11" spans="1:3">
      <c r="A11" s="312" t="s">
        <v>50</v>
      </c>
      <c r="B11" s="306" t="s">
        <v>51</v>
      </c>
      <c r="C11" s="227" t="s">
        <v>45</v>
      </c>
    </row>
    <row r="12" spans="1:3">
      <c r="A12" s="312" t="s">
        <v>52</v>
      </c>
      <c r="B12" s="306" t="s">
        <v>53</v>
      </c>
      <c r="C12" s="227" t="s">
        <v>45</v>
      </c>
    </row>
    <row r="13" spans="1:3">
      <c r="A13" s="312" t="s">
        <v>54</v>
      </c>
      <c r="B13" s="306" t="s">
        <v>55</v>
      </c>
      <c r="C13" s="227" t="s">
        <v>45</v>
      </c>
    </row>
    <row r="14" spans="1:3">
      <c r="A14" s="312" t="s">
        <v>56</v>
      </c>
      <c r="B14" s="306" t="s">
        <v>57</v>
      </c>
      <c r="C14" s="227" t="s">
        <v>58</v>
      </c>
    </row>
    <row r="15" spans="1:3">
      <c r="A15" s="312" t="s">
        <v>59</v>
      </c>
      <c r="B15" s="306" t="s">
        <v>60</v>
      </c>
      <c r="C15" s="227" t="s">
        <v>45</v>
      </c>
    </row>
    <row r="16" spans="1:3">
      <c r="A16" s="312" t="s">
        <v>61</v>
      </c>
      <c r="B16" s="306" t="s">
        <v>62</v>
      </c>
      <c r="C16" s="227" t="s">
        <v>63</v>
      </c>
    </row>
    <row r="17" spans="1:3">
      <c r="A17" s="312" t="s">
        <v>64</v>
      </c>
      <c r="B17" s="306" t="s">
        <v>65</v>
      </c>
      <c r="C17" s="227" t="s">
        <v>66</v>
      </c>
    </row>
    <row r="18" spans="1:3" ht="32">
      <c r="A18" s="312" t="s">
        <v>67</v>
      </c>
      <c r="B18" s="310" t="s">
        <v>68</v>
      </c>
      <c r="C18" s="313" t="s">
        <v>69</v>
      </c>
    </row>
    <row r="19" spans="1:3">
      <c r="A19" s="312" t="s">
        <v>70</v>
      </c>
      <c r="B19" s="306" t="s">
        <v>71</v>
      </c>
      <c r="C19" s="227" t="s">
        <v>72</v>
      </c>
    </row>
    <row r="20" spans="1:3">
      <c r="A20" s="312" t="s">
        <v>73</v>
      </c>
      <c r="B20" s="306" t="s">
        <v>74</v>
      </c>
      <c r="C20" s="227" t="s">
        <v>75</v>
      </c>
    </row>
    <row r="21" spans="1:3">
      <c r="A21" s="312" t="s">
        <v>76</v>
      </c>
      <c r="B21" s="306" t="s">
        <v>77</v>
      </c>
      <c r="C21" s="227" t="s">
        <v>75</v>
      </c>
    </row>
  </sheetData>
  <sheetProtection password="C3D8" sheet="1" objects="1" scenarios="1"/>
  <hyperlinks>
    <hyperlink ref="A3" location="Sumarizácia!R1C1" display="Sumarizácia" xr:uid="{00000000-0004-0000-0100-000000000000}"/>
    <hyperlink ref="A4" location="'CBA - Agendové IS'!R1C1" display="CBA" xr:uid="{00000000-0004-0000-0100-000001000000}"/>
    <hyperlink ref="A5" location="'Analyza citlivosti - AgendovéIS'!R1C1" display="Analyza citlivosti" xr:uid="{00000000-0004-0000-0100-000002000000}"/>
    <hyperlink ref="A6" location="'Prínosy - Agendové IS'!R1C1" display="Prínosy" xr:uid="{00000000-0004-0000-0100-000003000000}"/>
    <hyperlink ref="A7" location="'Výdavky - Agendové IS'!R1C1" display="Výdavky" xr:uid="{00000000-0004-0000-0100-000004000000}"/>
    <hyperlink ref="A8" location="'Parametre - Agendové IS'!R1C1" display="Parametre" xr:uid="{00000000-0004-0000-0100-000005000000}"/>
    <hyperlink ref="A9" location="TCO!R1C1" display="TCO" xr:uid="{00000000-0004-0000-0100-000006000000}"/>
    <hyperlink ref="A10" location="'TCO Alt. 1 - SW'!R1C1" display="TCO Alt. 1 - SW" xr:uid="{00000000-0004-0000-0100-000007000000}"/>
    <hyperlink ref="A11" location="'TCO Alt. 1 - HW'!R1C1" display="TCO Alt. 1 - HW" xr:uid="{00000000-0004-0000-0100-000008000000}"/>
    <hyperlink ref="A12" location="'TCO Alt. 2 - SW'!R1C1" display="TCO Alt. 2 - SW" xr:uid="{00000000-0004-0000-0100-000009000000}"/>
    <hyperlink ref="A13" location="'TCO Alt. 2 - HW'!R1C1" display="TCO Alt. 2 - HW" xr:uid="{00000000-0004-0000-0100-00000A000000}"/>
    <hyperlink ref="A14" location="'Rozpočet - vývoj Aplikácií'!R1C1" display="Rozpočet - vývoj aplikácii" xr:uid="{00000000-0004-0000-0100-00000B000000}"/>
    <hyperlink ref="A16" location="'Slepý rozpočet'!R1C1" display="Slepý rozpočet" xr:uid="{00000000-0004-0000-0100-00000C000000}"/>
    <hyperlink ref="A17" location="Faktory!R1C1" display="Faktory" xr:uid="{00000000-0004-0000-0100-00000D000000}"/>
    <hyperlink ref="A18" location="'Meranie prínosov'!R1C1" display="Meranie prínosov" xr:uid="{00000000-0004-0000-0100-00000E000000}"/>
    <hyperlink ref="A19" location="'Procesné mapy'!R1C1" display="Procesné mapy" xr:uid="{00000000-0004-0000-0100-00000F000000}"/>
    <hyperlink ref="A20" location="'Procesy - AS IS'!R1C1" display="Procesy AS IS" xr:uid="{00000000-0004-0000-0100-000010000000}"/>
    <hyperlink ref="A21" location="'Procesy - TO BE'!R1C1" display="Procesy TO BE" xr:uid="{00000000-0004-0000-0100-000011000000}"/>
    <hyperlink ref="A15" location="'Rozpočet - HW a licencie'!R1C1" display="Rozpočet - HW a licencie" xr:uid="{00000000-0004-0000-0100-000012000000}"/>
  </hyperlinks>
  <pageMargins left="0.7" right="0.7" top="0.75" bottom="0.75" header="0.3" footer="0.3"/>
  <pageSetup paperSize="9" scale="5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CC"/>
  </sheetPr>
  <dimension ref="A1:BF382"/>
  <sheetViews>
    <sheetView zoomScale="85" zoomScaleNormal="85" workbookViewId="0"/>
  </sheetViews>
  <sheetFormatPr baseColWidth="10" defaultColWidth="8.83203125" defaultRowHeight="15"/>
  <sheetData>
    <row r="1" spans="1:21">
      <c r="A1" s="102" t="s">
        <v>434</v>
      </c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</row>
    <row r="2" spans="1:21">
      <c r="A2" s="264" t="s">
        <v>112</v>
      </c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5" t="s">
        <v>113</v>
      </c>
    </row>
    <row r="45" spans="1:21">
      <c r="A45" s="102" t="s">
        <v>435</v>
      </c>
    </row>
    <row r="46" spans="1:21">
      <c r="A46" s="264" t="s">
        <v>112</v>
      </c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5" t="s">
        <v>113</v>
      </c>
    </row>
    <row r="90" spans="1:27">
      <c r="A90" s="102" t="s">
        <v>436</v>
      </c>
    </row>
    <row r="91" spans="1:27">
      <c r="A91" s="264" t="s">
        <v>112</v>
      </c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263"/>
      <c r="P91" s="263"/>
      <c r="Q91" s="263"/>
      <c r="R91" s="263"/>
      <c r="S91" s="263"/>
      <c r="T91" s="263"/>
      <c r="AA91" s="265" t="s">
        <v>113</v>
      </c>
    </row>
    <row r="134" spans="1:21">
      <c r="A134" s="102" t="s">
        <v>437</v>
      </c>
    </row>
    <row r="135" spans="1:21">
      <c r="A135" s="264" t="s">
        <v>112</v>
      </c>
      <c r="D135" s="263"/>
      <c r="E135" s="263"/>
      <c r="F135" s="263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63"/>
      <c r="T135" s="263"/>
      <c r="U135" s="265" t="s">
        <v>113</v>
      </c>
    </row>
    <row r="181" spans="1:28">
      <c r="A181" s="102" t="s">
        <v>438</v>
      </c>
    </row>
    <row r="182" spans="1:28">
      <c r="A182" s="264" t="s">
        <v>112</v>
      </c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AB182" s="265" t="s">
        <v>113</v>
      </c>
    </row>
    <row r="226" spans="1:28">
      <c r="A226" s="102" t="s">
        <v>439</v>
      </c>
    </row>
    <row r="227" spans="1:28">
      <c r="A227" s="264" t="s">
        <v>112</v>
      </c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AB227" s="265" t="s">
        <v>113</v>
      </c>
    </row>
    <row r="283" spans="1:28">
      <c r="A283" s="102" t="s">
        <v>440</v>
      </c>
    </row>
    <row r="284" spans="1:28">
      <c r="A284" s="264" t="s">
        <v>112</v>
      </c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AB284" s="265" t="s">
        <v>113</v>
      </c>
    </row>
    <row r="331" spans="1:54">
      <c r="A331" s="102" t="s">
        <v>441</v>
      </c>
    </row>
    <row r="332" spans="1:54">
      <c r="A332" s="264" t="s">
        <v>112</v>
      </c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BB332" s="265" t="s">
        <v>113</v>
      </c>
    </row>
    <row r="381" spans="1:58">
      <c r="A381" s="102" t="s">
        <v>442</v>
      </c>
    </row>
    <row r="382" spans="1:58">
      <c r="A382" s="264" t="s">
        <v>112</v>
      </c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BF382" s="265" t="s">
        <v>113</v>
      </c>
    </row>
  </sheetData>
  <pageMargins left="0.7" right="0.7" top="0.75" bottom="0.75" header="0.3" footer="0.3"/>
  <pageSetup paperSize="9" scale="33" orientation="portrait" r:id="rId1"/>
  <colBreaks count="1" manualBreakCount="1">
    <brk id="15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AC70"/>
  <sheetViews>
    <sheetView zoomScaleNormal="100" workbookViewId="0">
      <selection activeCell="B3" sqref="B3:I34"/>
    </sheetView>
  </sheetViews>
  <sheetFormatPr baseColWidth="10" defaultColWidth="8.83203125" defaultRowHeight="15"/>
  <cols>
    <col min="1" max="1" width="21.5" customWidth="1"/>
    <col min="2" max="2" width="14.5" customWidth="1"/>
    <col min="3" max="3" width="14.33203125" style="263" customWidth="1"/>
    <col min="4" max="4" width="14.1640625" style="263" customWidth="1"/>
    <col min="5" max="5" width="14.83203125" style="263" customWidth="1"/>
    <col min="6" max="6" width="11.83203125" style="263" customWidth="1"/>
    <col min="7" max="7" width="15.83203125" style="263" customWidth="1"/>
    <col min="8" max="8" width="13.5" style="263" customWidth="1"/>
    <col min="9" max="9" width="10" style="263" customWidth="1"/>
    <col min="10" max="28" width="8.5" style="263" customWidth="1"/>
  </cols>
  <sheetData>
    <row r="1" spans="1:29" ht="16" thickBot="1"/>
    <row r="2" spans="1:29" ht="48.75" customHeight="1" thickBot="1">
      <c r="A2" s="266" t="s">
        <v>443</v>
      </c>
      <c r="B2" s="283" t="s">
        <v>444</v>
      </c>
      <c r="C2" s="281" t="s">
        <v>445</v>
      </c>
      <c r="D2" s="267" t="s">
        <v>446</v>
      </c>
      <c r="E2" s="267" t="s">
        <v>447</v>
      </c>
      <c r="F2" s="288" t="s">
        <v>102</v>
      </c>
      <c r="G2" s="283" t="s">
        <v>448</v>
      </c>
      <c r="H2" s="292" t="s">
        <v>445</v>
      </c>
      <c r="I2" s="268" t="s">
        <v>102</v>
      </c>
      <c r="O2" s="269"/>
      <c r="P2" s="270"/>
      <c r="Q2" s="270"/>
      <c r="R2" s="102"/>
      <c r="S2" s="102"/>
      <c r="T2" s="102"/>
      <c r="U2" s="102"/>
      <c r="V2" s="102"/>
      <c r="W2" s="102"/>
      <c r="X2" s="102"/>
      <c r="Y2" s="270"/>
      <c r="Z2" s="270"/>
      <c r="AA2" s="102"/>
      <c r="AB2" s="102"/>
      <c r="AC2" s="102"/>
    </row>
    <row r="3" spans="1:29" ht="16">
      <c r="A3" s="271" t="s">
        <v>127</v>
      </c>
      <c r="B3" s="877" t="s">
        <v>449</v>
      </c>
      <c r="C3" s="878"/>
      <c r="D3" s="878"/>
      <c r="E3" s="878"/>
      <c r="F3" s="878"/>
      <c r="G3" s="878"/>
      <c r="H3" s="878"/>
      <c r="I3" s="879"/>
      <c r="O3" s="272"/>
      <c r="P3"/>
      <c r="AC3" s="263"/>
    </row>
    <row r="4" spans="1:29" ht="16">
      <c r="A4" s="273" t="s">
        <v>450</v>
      </c>
      <c r="B4" s="880"/>
      <c r="C4" s="881"/>
      <c r="D4" s="881"/>
      <c r="E4" s="881"/>
      <c r="F4" s="881"/>
      <c r="G4" s="881"/>
      <c r="H4" s="881"/>
      <c r="I4" s="882"/>
      <c r="O4" s="272"/>
      <c r="P4" s="274"/>
      <c r="AC4" s="263"/>
    </row>
    <row r="5" spans="1:29" ht="15.75" customHeight="1">
      <c r="A5" s="275" t="s">
        <v>451</v>
      </c>
      <c r="B5" s="880"/>
      <c r="C5" s="881"/>
      <c r="D5" s="881"/>
      <c r="E5" s="881"/>
      <c r="F5" s="881"/>
      <c r="G5" s="881"/>
      <c r="H5" s="881"/>
      <c r="I5" s="882"/>
      <c r="O5" s="272"/>
      <c r="AC5" s="263"/>
    </row>
    <row r="6" spans="1:29" ht="16">
      <c r="A6" s="275" t="s">
        <v>452</v>
      </c>
      <c r="B6" s="880"/>
      <c r="C6" s="881"/>
      <c r="D6" s="881"/>
      <c r="E6" s="881"/>
      <c r="F6" s="881"/>
      <c r="G6" s="881"/>
      <c r="H6" s="881"/>
      <c r="I6" s="882"/>
      <c r="O6" s="272"/>
      <c r="AC6" s="263"/>
    </row>
    <row r="7" spans="1:29" ht="16">
      <c r="A7" s="275" t="s">
        <v>453</v>
      </c>
      <c r="B7" s="880"/>
      <c r="C7" s="881"/>
      <c r="D7" s="881"/>
      <c r="E7" s="881"/>
      <c r="F7" s="881"/>
      <c r="G7" s="881"/>
      <c r="H7" s="881"/>
      <c r="I7" s="882"/>
      <c r="O7" s="272"/>
      <c r="AC7" s="263"/>
    </row>
    <row r="8" spans="1:29" ht="16">
      <c r="A8" s="275" t="s">
        <v>454</v>
      </c>
      <c r="B8" s="880"/>
      <c r="C8" s="881"/>
      <c r="D8" s="881"/>
      <c r="E8" s="881"/>
      <c r="F8" s="881"/>
      <c r="G8" s="881"/>
      <c r="H8" s="881"/>
      <c r="I8" s="882"/>
      <c r="O8" s="272"/>
      <c r="AC8" s="263"/>
    </row>
    <row r="9" spans="1:29" ht="16">
      <c r="A9" s="275" t="s">
        <v>455</v>
      </c>
      <c r="B9" s="880"/>
      <c r="C9" s="881"/>
      <c r="D9" s="881"/>
      <c r="E9" s="881"/>
      <c r="F9" s="881"/>
      <c r="G9" s="881"/>
      <c r="H9" s="881"/>
      <c r="I9" s="882"/>
      <c r="O9" s="272"/>
      <c r="AC9" s="263"/>
    </row>
    <row r="10" spans="1:29" ht="16">
      <c r="A10" s="275" t="s">
        <v>456</v>
      </c>
      <c r="B10" s="880"/>
      <c r="C10" s="881"/>
      <c r="D10" s="881"/>
      <c r="E10" s="881"/>
      <c r="F10" s="881"/>
      <c r="G10" s="881"/>
      <c r="H10" s="881"/>
      <c r="I10" s="882"/>
      <c r="O10" s="272"/>
      <c r="AC10" s="263"/>
    </row>
    <row r="11" spans="1:29" ht="16">
      <c r="A11" s="275" t="s">
        <v>457</v>
      </c>
      <c r="B11" s="880"/>
      <c r="C11" s="881"/>
      <c r="D11" s="881"/>
      <c r="E11" s="881"/>
      <c r="F11" s="881"/>
      <c r="G11" s="881"/>
      <c r="H11" s="881"/>
      <c r="I11" s="882"/>
      <c r="O11" s="272"/>
      <c r="AC11" s="263"/>
    </row>
    <row r="12" spans="1:29" ht="16">
      <c r="A12" s="275" t="s">
        <v>458</v>
      </c>
      <c r="B12" s="880"/>
      <c r="C12" s="881"/>
      <c r="D12" s="881"/>
      <c r="E12" s="881"/>
      <c r="F12" s="881"/>
      <c r="G12" s="881"/>
      <c r="H12" s="881"/>
      <c r="I12" s="882"/>
      <c r="O12" s="272"/>
      <c r="AC12" s="263"/>
    </row>
    <row r="13" spans="1:29" ht="16">
      <c r="A13" s="275" t="s">
        <v>459</v>
      </c>
      <c r="B13" s="880"/>
      <c r="C13" s="881"/>
      <c r="D13" s="881"/>
      <c r="E13" s="881"/>
      <c r="F13" s="881"/>
      <c r="G13" s="881"/>
      <c r="H13" s="881"/>
      <c r="I13" s="882"/>
      <c r="O13" s="272"/>
      <c r="AC13" s="263"/>
    </row>
    <row r="14" spans="1:29" ht="16">
      <c r="A14" s="275" t="s">
        <v>460</v>
      </c>
      <c r="B14" s="880"/>
      <c r="C14" s="881"/>
      <c r="D14" s="881"/>
      <c r="E14" s="881"/>
      <c r="F14" s="881"/>
      <c r="G14" s="881"/>
      <c r="H14" s="881"/>
      <c r="I14" s="882"/>
      <c r="O14" s="272"/>
      <c r="AC14" s="263"/>
    </row>
    <row r="15" spans="1:29" ht="16">
      <c r="A15" s="275" t="s">
        <v>461</v>
      </c>
      <c r="B15" s="880"/>
      <c r="C15" s="881"/>
      <c r="D15" s="881"/>
      <c r="E15" s="881"/>
      <c r="F15" s="881"/>
      <c r="G15" s="881"/>
      <c r="H15" s="881"/>
      <c r="I15" s="882"/>
      <c r="O15" s="272"/>
      <c r="AC15" s="263"/>
    </row>
    <row r="16" spans="1:29" ht="16">
      <c r="A16" s="275" t="s">
        <v>462</v>
      </c>
      <c r="B16" s="880"/>
      <c r="C16" s="881"/>
      <c r="D16" s="881"/>
      <c r="E16" s="881"/>
      <c r="F16" s="881"/>
      <c r="G16" s="881"/>
      <c r="H16" s="881"/>
      <c r="I16" s="882"/>
      <c r="O16" s="272"/>
      <c r="AC16" s="263"/>
    </row>
    <row r="17" spans="1:29" ht="16">
      <c r="A17" s="275" t="s">
        <v>463</v>
      </c>
      <c r="B17" s="880"/>
      <c r="C17" s="881"/>
      <c r="D17" s="881"/>
      <c r="E17" s="881"/>
      <c r="F17" s="881"/>
      <c r="G17" s="881"/>
      <c r="H17" s="881"/>
      <c r="I17" s="882"/>
      <c r="O17" s="272"/>
      <c r="AC17" s="263"/>
    </row>
    <row r="18" spans="1:29" ht="16">
      <c r="A18" s="275" t="s">
        <v>464</v>
      </c>
      <c r="B18" s="880"/>
      <c r="C18" s="881"/>
      <c r="D18" s="881"/>
      <c r="E18" s="881"/>
      <c r="F18" s="881"/>
      <c r="G18" s="881"/>
      <c r="H18" s="881"/>
      <c r="I18" s="882"/>
      <c r="O18" s="272"/>
      <c r="AC18" s="263"/>
    </row>
    <row r="19" spans="1:29" ht="16">
      <c r="A19" s="275" t="s">
        <v>465</v>
      </c>
      <c r="B19" s="880"/>
      <c r="C19" s="881"/>
      <c r="D19" s="881"/>
      <c r="E19" s="881"/>
      <c r="F19" s="881"/>
      <c r="G19" s="881"/>
      <c r="H19" s="881"/>
      <c r="I19" s="882"/>
      <c r="O19" s="272"/>
      <c r="AC19" s="263"/>
    </row>
    <row r="20" spans="1:29" ht="16">
      <c r="A20" s="275" t="s">
        <v>466</v>
      </c>
      <c r="B20" s="880"/>
      <c r="C20" s="881"/>
      <c r="D20" s="881"/>
      <c r="E20" s="881"/>
      <c r="F20" s="881"/>
      <c r="G20" s="881"/>
      <c r="H20" s="881"/>
      <c r="I20" s="882"/>
      <c r="O20" s="272"/>
      <c r="AC20" s="263"/>
    </row>
    <row r="21" spans="1:29" ht="16">
      <c r="A21" s="275" t="s">
        <v>467</v>
      </c>
      <c r="B21" s="880"/>
      <c r="C21" s="881"/>
      <c r="D21" s="881"/>
      <c r="E21" s="881"/>
      <c r="F21" s="881"/>
      <c r="G21" s="881"/>
      <c r="H21" s="881"/>
      <c r="I21" s="882"/>
      <c r="O21" s="272"/>
      <c r="AC21" s="263"/>
    </row>
    <row r="22" spans="1:29" ht="16">
      <c r="A22" s="275" t="s">
        <v>468</v>
      </c>
      <c r="B22" s="880"/>
      <c r="C22" s="881"/>
      <c r="D22" s="881"/>
      <c r="E22" s="881"/>
      <c r="F22" s="881"/>
      <c r="G22" s="881"/>
      <c r="H22" s="881"/>
      <c r="I22" s="882"/>
      <c r="O22" s="272"/>
      <c r="AC22" s="263"/>
    </row>
    <row r="23" spans="1:29" ht="16">
      <c r="A23" s="275" t="s">
        <v>469</v>
      </c>
      <c r="B23" s="880"/>
      <c r="C23" s="881"/>
      <c r="D23" s="881"/>
      <c r="E23" s="881"/>
      <c r="F23" s="881"/>
      <c r="G23" s="881"/>
      <c r="H23" s="881"/>
      <c r="I23" s="882"/>
      <c r="O23" s="272"/>
      <c r="AC23" s="263"/>
    </row>
    <row r="24" spans="1:29" ht="16">
      <c r="A24" s="275" t="s">
        <v>470</v>
      </c>
      <c r="B24" s="880"/>
      <c r="C24" s="881"/>
      <c r="D24" s="881"/>
      <c r="E24" s="881"/>
      <c r="F24" s="881"/>
      <c r="G24" s="881"/>
      <c r="H24" s="881"/>
      <c r="I24" s="882"/>
      <c r="O24" s="272"/>
      <c r="AC24" s="263"/>
    </row>
    <row r="25" spans="1:29" ht="16">
      <c r="A25" s="275" t="s">
        <v>471</v>
      </c>
      <c r="B25" s="880"/>
      <c r="C25" s="881"/>
      <c r="D25" s="881"/>
      <c r="E25" s="881"/>
      <c r="F25" s="881"/>
      <c r="G25" s="881"/>
      <c r="H25" s="881"/>
      <c r="I25" s="882"/>
      <c r="O25" s="272"/>
      <c r="AC25" s="263"/>
    </row>
    <row r="26" spans="1:29" ht="16">
      <c r="A26" s="275" t="s">
        <v>472</v>
      </c>
      <c r="B26" s="880"/>
      <c r="C26" s="881"/>
      <c r="D26" s="881"/>
      <c r="E26" s="881"/>
      <c r="F26" s="881"/>
      <c r="G26" s="881"/>
      <c r="H26" s="881"/>
      <c r="I26" s="882"/>
      <c r="O26" s="272"/>
      <c r="AC26" s="263"/>
    </row>
    <row r="27" spans="1:29" ht="16">
      <c r="A27" s="275" t="s">
        <v>473</v>
      </c>
      <c r="B27" s="880"/>
      <c r="C27" s="881"/>
      <c r="D27" s="881"/>
      <c r="E27" s="881"/>
      <c r="F27" s="881"/>
      <c r="G27" s="881"/>
      <c r="H27" s="881"/>
      <c r="I27" s="882"/>
      <c r="O27" s="272"/>
      <c r="AC27" s="263"/>
    </row>
    <row r="28" spans="1:29" ht="16">
      <c r="A28" s="275" t="s">
        <v>474</v>
      </c>
      <c r="B28" s="880"/>
      <c r="C28" s="881"/>
      <c r="D28" s="881"/>
      <c r="E28" s="881"/>
      <c r="F28" s="881"/>
      <c r="G28" s="881"/>
      <c r="H28" s="881"/>
      <c r="I28" s="882"/>
      <c r="O28" s="272"/>
      <c r="AC28" s="263"/>
    </row>
    <row r="29" spans="1:29" ht="16">
      <c r="A29" s="275" t="s">
        <v>475</v>
      </c>
      <c r="B29" s="880"/>
      <c r="C29" s="881"/>
      <c r="D29" s="881"/>
      <c r="E29" s="881"/>
      <c r="F29" s="881"/>
      <c r="G29" s="881"/>
      <c r="H29" s="881"/>
      <c r="I29" s="882"/>
      <c r="O29" s="272"/>
      <c r="AC29" s="263"/>
    </row>
    <row r="30" spans="1:29" ht="16">
      <c r="A30" s="275" t="s">
        <v>476</v>
      </c>
      <c r="B30" s="880"/>
      <c r="C30" s="881"/>
      <c r="D30" s="881"/>
      <c r="E30" s="881"/>
      <c r="F30" s="881"/>
      <c r="G30" s="881"/>
      <c r="H30" s="881"/>
      <c r="I30" s="882"/>
      <c r="O30" s="272"/>
      <c r="AC30" s="263"/>
    </row>
    <row r="31" spans="1:29" ht="16">
      <c r="A31" s="275" t="s">
        <v>477</v>
      </c>
      <c r="B31" s="880"/>
      <c r="C31" s="881"/>
      <c r="D31" s="881"/>
      <c r="E31" s="881"/>
      <c r="F31" s="881"/>
      <c r="G31" s="881"/>
      <c r="H31" s="881"/>
      <c r="I31" s="882"/>
      <c r="O31" s="272"/>
      <c r="AC31" s="263"/>
    </row>
    <row r="32" spans="1:29" ht="16">
      <c r="A32" s="275" t="s">
        <v>478</v>
      </c>
      <c r="B32" s="880"/>
      <c r="C32" s="881"/>
      <c r="D32" s="881"/>
      <c r="E32" s="881"/>
      <c r="F32" s="881"/>
      <c r="G32" s="881"/>
      <c r="H32" s="881"/>
      <c r="I32" s="882"/>
      <c r="O32" s="272"/>
      <c r="AC32" s="263"/>
    </row>
    <row r="33" spans="1:29" ht="16">
      <c r="A33" s="275" t="s">
        <v>479</v>
      </c>
      <c r="B33" s="880"/>
      <c r="C33" s="881"/>
      <c r="D33" s="881"/>
      <c r="E33" s="881"/>
      <c r="F33" s="881"/>
      <c r="G33" s="881"/>
      <c r="H33" s="881"/>
      <c r="I33" s="882"/>
      <c r="O33" s="272"/>
      <c r="AC33" s="263"/>
    </row>
    <row r="34" spans="1:29" ht="17" thickBot="1">
      <c r="A34" s="276" t="s">
        <v>480</v>
      </c>
      <c r="B34" s="880"/>
      <c r="C34" s="881"/>
      <c r="D34" s="881"/>
      <c r="E34" s="881"/>
      <c r="F34" s="881"/>
      <c r="G34" s="881"/>
      <c r="H34" s="881"/>
      <c r="I34" s="882"/>
      <c r="O34" s="272"/>
      <c r="P34"/>
      <c r="Q34"/>
      <c r="R34"/>
      <c r="S34"/>
      <c r="T34"/>
      <c r="U34"/>
      <c r="V34"/>
      <c r="W34"/>
      <c r="X34"/>
      <c r="Y34"/>
      <c r="Z34"/>
      <c r="AA34"/>
      <c r="AB34"/>
    </row>
    <row r="37" spans="1:29" ht="16" thickBot="1"/>
    <row r="38" spans="1:29" ht="33" thickBot="1">
      <c r="A38" s="266" t="s">
        <v>481</v>
      </c>
      <c r="B38" s="283" t="s">
        <v>444</v>
      </c>
      <c r="C38" s="281" t="s">
        <v>445</v>
      </c>
      <c r="D38" s="267" t="s">
        <v>446</v>
      </c>
      <c r="E38" s="267" t="s">
        <v>447</v>
      </c>
      <c r="F38" s="288" t="s">
        <v>102</v>
      </c>
      <c r="G38" s="283" t="s">
        <v>448</v>
      </c>
      <c r="H38" s="292" t="s">
        <v>445</v>
      </c>
      <c r="I38" s="268" t="s">
        <v>102</v>
      </c>
    </row>
    <row r="39" spans="1:29" ht="16">
      <c r="A39" s="271" t="s">
        <v>127</v>
      </c>
      <c r="B39" s="284"/>
      <c r="C39" s="282"/>
      <c r="D39" s="278"/>
      <c r="E39" s="278"/>
      <c r="F39" s="289"/>
      <c r="G39" s="293"/>
      <c r="H39" s="282"/>
      <c r="I39" s="278"/>
    </row>
    <row r="40" spans="1:29" ht="16">
      <c r="A40" s="273" t="s">
        <v>450</v>
      </c>
      <c r="B40" s="285" t="s">
        <v>482</v>
      </c>
      <c r="C40" s="280"/>
      <c r="D40" s="279"/>
      <c r="E40" s="279"/>
      <c r="F40" s="290"/>
      <c r="G40" s="286"/>
      <c r="H40" s="280"/>
      <c r="I40" s="279"/>
    </row>
    <row r="41" spans="1:29" ht="16">
      <c r="A41" s="275" t="s">
        <v>451</v>
      </c>
      <c r="B41" s="286"/>
      <c r="C41" s="280"/>
      <c r="D41" s="279"/>
      <c r="E41" s="279"/>
      <c r="F41" s="290"/>
      <c r="G41" s="286"/>
      <c r="H41" s="280"/>
      <c r="I41" s="279"/>
    </row>
    <row r="42" spans="1:29" ht="16">
      <c r="A42" s="275" t="s">
        <v>452</v>
      </c>
      <c r="B42" s="286"/>
      <c r="C42" s="280"/>
      <c r="D42" s="279"/>
      <c r="E42" s="279"/>
      <c r="F42" s="290"/>
      <c r="G42" s="286"/>
      <c r="H42" s="280"/>
      <c r="I42" s="279"/>
    </row>
    <row r="43" spans="1:29" ht="16">
      <c r="A43" s="275" t="s">
        <v>453</v>
      </c>
      <c r="B43" s="286"/>
      <c r="C43" s="280"/>
      <c r="D43" s="279"/>
      <c r="E43" s="279"/>
      <c r="F43" s="290"/>
      <c r="G43" s="286"/>
      <c r="H43" s="280"/>
      <c r="I43" s="279"/>
    </row>
    <row r="44" spans="1:29" ht="16">
      <c r="A44" s="275" t="s">
        <v>454</v>
      </c>
      <c r="B44" s="286"/>
      <c r="C44" s="280"/>
      <c r="D44" s="279"/>
      <c r="E44" s="279"/>
      <c r="F44" s="290"/>
      <c r="G44" s="286"/>
      <c r="H44" s="280"/>
      <c r="I44" s="279"/>
    </row>
    <row r="45" spans="1:29" ht="16">
      <c r="A45" s="275" t="s">
        <v>455</v>
      </c>
      <c r="B45" s="286"/>
      <c r="C45" s="280"/>
      <c r="D45" s="279"/>
      <c r="E45" s="279"/>
      <c r="F45" s="290"/>
      <c r="G45" s="286"/>
      <c r="H45" s="280"/>
      <c r="I45" s="279"/>
    </row>
    <row r="46" spans="1:29" ht="16">
      <c r="A46" s="275" t="s">
        <v>456</v>
      </c>
      <c r="B46" s="286"/>
      <c r="C46" s="280"/>
      <c r="D46" s="279"/>
      <c r="E46" s="279"/>
      <c r="F46" s="290"/>
      <c r="G46" s="286"/>
      <c r="H46" s="280"/>
      <c r="I46" s="279"/>
    </row>
    <row r="47" spans="1:29" ht="16">
      <c r="A47" s="275" t="s">
        <v>457</v>
      </c>
      <c r="B47" s="286"/>
      <c r="C47" s="280"/>
      <c r="D47" s="279"/>
      <c r="E47" s="279"/>
      <c r="F47" s="290"/>
      <c r="G47" s="286"/>
      <c r="H47" s="280"/>
      <c r="I47" s="279"/>
    </row>
    <row r="48" spans="1:29" ht="16">
      <c r="A48" s="275" t="s">
        <v>458</v>
      </c>
      <c r="B48" s="286"/>
      <c r="C48" s="280"/>
      <c r="D48" s="279"/>
      <c r="E48" s="279"/>
      <c r="F48" s="290"/>
      <c r="G48" s="286"/>
      <c r="H48" s="280"/>
      <c r="I48" s="279"/>
    </row>
    <row r="49" spans="1:9" ht="16">
      <c r="A49" s="275" t="s">
        <v>459</v>
      </c>
      <c r="B49" s="286"/>
      <c r="C49" s="280"/>
      <c r="D49" s="279"/>
      <c r="E49" s="279"/>
      <c r="F49" s="290"/>
      <c r="G49" s="286"/>
      <c r="H49" s="280"/>
      <c r="I49" s="279"/>
    </row>
    <row r="50" spans="1:9" ht="16">
      <c r="A50" s="275" t="s">
        <v>460</v>
      </c>
      <c r="B50" s="286"/>
      <c r="C50" s="280"/>
      <c r="D50" s="279"/>
      <c r="E50" s="279"/>
      <c r="F50" s="290"/>
      <c r="G50" s="286"/>
      <c r="H50" s="280"/>
      <c r="I50" s="279"/>
    </row>
    <row r="51" spans="1:9" ht="16">
      <c r="A51" s="275" t="s">
        <v>461</v>
      </c>
      <c r="B51" s="286"/>
      <c r="C51" s="280"/>
      <c r="D51" s="279"/>
      <c r="E51" s="279"/>
      <c r="F51" s="290"/>
      <c r="G51" s="286"/>
      <c r="H51" s="280"/>
      <c r="I51" s="279"/>
    </row>
    <row r="52" spans="1:9" ht="16">
      <c r="A52" s="275" t="s">
        <v>462</v>
      </c>
      <c r="B52" s="286"/>
      <c r="C52" s="280"/>
      <c r="D52" s="279"/>
      <c r="E52" s="279"/>
      <c r="F52" s="290"/>
      <c r="G52" s="286"/>
      <c r="H52" s="280"/>
      <c r="I52" s="279"/>
    </row>
    <row r="53" spans="1:9" ht="16">
      <c r="A53" s="275" t="s">
        <v>463</v>
      </c>
      <c r="B53" s="286"/>
      <c r="C53" s="280"/>
      <c r="D53" s="279"/>
      <c r="E53" s="279"/>
      <c r="F53" s="290"/>
      <c r="G53" s="286"/>
      <c r="H53" s="280"/>
      <c r="I53" s="279"/>
    </row>
    <row r="54" spans="1:9" ht="16">
      <c r="A54" s="275" t="s">
        <v>464</v>
      </c>
      <c r="B54" s="286"/>
      <c r="C54" s="280"/>
      <c r="D54" s="279"/>
      <c r="E54" s="279"/>
      <c r="F54" s="290"/>
      <c r="G54" s="286"/>
      <c r="H54" s="280"/>
      <c r="I54" s="279"/>
    </row>
    <row r="55" spans="1:9" ht="16">
      <c r="A55" s="275" t="s">
        <v>465</v>
      </c>
      <c r="B55" s="286"/>
      <c r="C55" s="280"/>
      <c r="D55" s="279"/>
      <c r="E55" s="279"/>
      <c r="F55" s="290"/>
      <c r="G55" s="286"/>
      <c r="H55" s="280"/>
      <c r="I55" s="279"/>
    </row>
    <row r="56" spans="1:9" ht="16">
      <c r="A56" s="275" t="s">
        <v>466</v>
      </c>
      <c r="B56" s="286"/>
      <c r="C56" s="280"/>
      <c r="D56" s="279"/>
      <c r="E56" s="279"/>
      <c r="F56" s="290"/>
      <c r="G56" s="286"/>
      <c r="H56" s="280"/>
      <c r="I56" s="279"/>
    </row>
    <row r="57" spans="1:9" ht="16">
      <c r="A57" s="275" t="s">
        <v>467</v>
      </c>
      <c r="B57" s="286"/>
      <c r="C57" s="280"/>
      <c r="D57" s="279"/>
      <c r="E57" s="279"/>
      <c r="F57" s="290"/>
      <c r="G57" s="286"/>
      <c r="H57" s="280"/>
      <c r="I57" s="279"/>
    </row>
    <row r="58" spans="1:9" ht="16">
      <c r="A58" s="275" t="s">
        <v>468</v>
      </c>
      <c r="B58" s="286"/>
      <c r="C58" s="280"/>
      <c r="D58" s="279"/>
      <c r="E58" s="279"/>
      <c r="F58" s="290"/>
      <c r="G58" s="286"/>
      <c r="H58" s="280"/>
      <c r="I58" s="279"/>
    </row>
    <row r="59" spans="1:9" ht="16">
      <c r="A59" s="275" t="s">
        <v>469</v>
      </c>
      <c r="B59" s="286"/>
      <c r="C59" s="280"/>
      <c r="D59" s="279"/>
      <c r="E59" s="279"/>
      <c r="F59" s="290"/>
      <c r="G59" s="286"/>
      <c r="H59" s="280"/>
      <c r="I59" s="279"/>
    </row>
    <row r="60" spans="1:9" ht="16">
      <c r="A60" s="275" t="s">
        <v>470</v>
      </c>
      <c r="B60" s="286"/>
      <c r="C60" s="280"/>
      <c r="D60" s="279"/>
      <c r="E60" s="279"/>
      <c r="F60" s="290"/>
      <c r="G60" s="286"/>
      <c r="H60" s="280"/>
      <c r="I60" s="279"/>
    </row>
    <row r="61" spans="1:9" ht="16">
      <c r="A61" s="275" t="s">
        <v>471</v>
      </c>
      <c r="B61" s="286"/>
      <c r="C61" s="280"/>
      <c r="D61" s="279"/>
      <c r="E61" s="279"/>
      <c r="F61" s="290"/>
      <c r="G61" s="286"/>
      <c r="H61" s="280"/>
      <c r="I61" s="279"/>
    </row>
    <row r="62" spans="1:9" ht="16">
      <c r="A62" s="275" t="s">
        <v>472</v>
      </c>
      <c r="B62" s="286"/>
      <c r="C62" s="280"/>
      <c r="D62" s="279"/>
      <c r="E62" s="279"/>
      <c r="F62" s="290"/>
      <c r="G62" s="286"/>
      <c r="H62" s="280"/>
      <c r="I62" s="279"/>
    </row>
    <row r="63" spans="1:9" ht="16">
      <c r="A63" s="275" t="s">
        <v>473</v>
      </c>
      <c r="B63" s="286"/>
      <c r="C63" s="280"/>
      <c r="D63" s="279"/>
      <c r="E63" s="279"/>
      <c r="F63" s="290"/>
      <c r="G63" s="286"/>
      <c r="H63" s="280"/>
      <c r="I63" s="279"/>
    </row>
    <row r="64" spans="1:9" ht="16">
      <c r="A64" s="275" t="s">
        <v>474</v>
      </c>
      <c r="B64" s="286"/>
      <c r="C64" s="280"/>
      <c r="D64" s="279"/>
      <c r="E64" s="279"/>
      <c r="F64" s="290"/>
      <c r="G64" s="286"/>
      <c r="H64" s="280"/>
      <c r="I64" s="279"/>
    </row>
    <row r="65" spans="1:9" ht="16">
      <c r="A65" s="275" t="s">
        <v>475</v>
      </c>
      <c r="B65" s="286"/>
      <c r="C65" s="280"/>
      <c r="D65" s="279"/>
      <c r="E65" s="279"/>
      <c r="F65" s="290"/>
      <c r="G65" s="286"/>
      <c r="H65" s="280"/>
      <c r="I65" s="279"/>
    </row>
    <row r="66" spans="1:9" ht="16">
      <c r="A66" s="275" t="s">
        <v>476</v>
      </c>
      <c r="B66" s="286"/>
      <c r="C66" s="280"/>
      <c r="D66" s="279"/>
      <c r="E66" s="279"/>
      <c r="F66" s="290"/>
      <c r="G66" s="286"/>
      <c r="H66" s="280"/>
      <c r="I66" s="279"/>
    </row>
    <row r="67" spans="1:9" ht="16">
      <c r="A67" s="275" t="s">
        <v>477</v>
      </c>
      <c r="B67" s="286"/>
      <c r="C67" s="280"/>
      <c r="D67" s="279"/>
      <c r="E67" s="279"/>
      <c r="F67" s="290"/>
      <c r="G67" s="286"/>
      <c r="H67" s="280"/>
      <c r="I67" s="279"/>
    </row>
    <row r="68" spans="1:9" ht="16">
      <c r="A68" s="275" t="s">
        <v>478</v>
      </c>
      <c r="B68" s="286"/>
      <c r="C68" s="280"/>
      <c r="D68" s="279"/>
      <c r="E68" s="279"/>
      <c r="F68" s="290"/>
      <c r="G68" s="286"/>
      <c r="H68" s="280"/>
      <c r="I68" s="279"/>
    </row>
    <row r="69" spans="1:9" ht="16">
      <c r="A69" s="275" t="s">
        <v>479</v>
      </c>
      <c r="B69" s="286"/>
      <c r="C69" s="280"/>
      <c r="D69" s="279"/>
      <c r="E69" s="279"/>
      <c r="F69" s="290"/>
      <c r="G69" s="286"/>
      <c r="H69" s="280"/>
      <c r="I69" s="279"/>
    </row>
    <row r="70" spans="1:9" ht="17" thickBot="1">
      <c r="A70" s="276" t="s">
        <v>480</v>
      </c>
      <c r="B70" s="287"/>
      <c r="C70" s="277"/>
      <c r="D70" s="227"/>
      <c r="E70" s="227"/>
      <c r="F70" s="291"/>
      <c r="G70" s="287"/>
      <c r="H70" s="277"/>
      <c r="I70" s="227"/>
    </row>
  </sheetData>
  <mergeCells count="1">
    <mergeCell ref="B3:I34"/>
  </mergeCells>
  <pageMargins left="0.7" right="0.7" top="0.75" bottom="0.75" header="0.3" footer="0.3"/>
  <pageSetup paperSize="9" scale="6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</sheetPr>
  <dimension ref="A1:AC70"/>
  <sheetViews>
    <sheetView topLeftCell="A35" zoomScaleNormal="100" workbookViewId="0">
      <selection activeCell="A35" sqref="A35"/>
    </sheetView>
  </sheetViews>
  <sheetFormatPr baseColWidth="10" defaultColWidth="8.83203125" defaultRowHeight="15"/>
  <cols>
    <col min="1" max="1" width="21.5" customWidth="1"/>
    <col min="2" max="2" width="14.5" customWidth="1"/>
    <col min="3" max="3" width="14.33203125" style="263" customWidth="1"/>
    <col min="4" max="4" width="14.1640625" style="263" customWidth="1"/>
    <col min="5" max="5" width="14.83203125" style="263" customWidth="1"/>
    <col min="6" max="6" width="11.83203125" style="263" customWidth="1"/>
    <col min="7" max="7" width="15.83203125" style="263" customWidth="1"/>
    <col min="8" max="8" width="13.5" style="263" customWidth="1"/>
    <col min="9" max="28" width="8.5" style="263" customWidth="1"/>
  </cols>
  <sheetData>
    <row r="1" spans="1:29" ht="16" thickBot="1"/>
    <row r="2" spans="1:29" ht="48.75" customHeight="1" thickBot="1">
      <c r="A2" s="266" t="s">
        <v>443</v>
      </c>
      <c r="B2" s="283" t="s">
        <v>444</v>
      </c>
      <c r="C2" s="281" t="s">
        <v>445</v>
      </c>
      <c r="D2" s="267" t="s">
        <v>446</v>
      </c>
      <c r="E2" s="267" t="s">
        <v>447</v>
      </c>
      <c r="F2" s="288" t="s">
        <v>102</v>
      </c>
      <c r="G2" s="283" t="s">
        <v>448</v>
      </c>
      <c r="H2" s="292" t="s">
        <v>445</v>
      </c>
      <c r="I2" s="268" t="s">
        <v>102</v>
      </c>
      <c r="O2" s="269"/>
      <c r="P2" s="270"/>
      <c r="Q2" s="270"/>
      <c r="R2" s="102"/>
      <c r="S2" s="102"/>
      <c r="T2" s="102"/>
      <c r="U2" s="102"/>
      <c r="V2" s="102"/>
      <c r="W2" s="102"/>
      <c r="X2" s="102"/>
      <c r="Y2" s="270"/>
      <c r="Z2" s="270"/>
      <c r="AA2" s="102"/>
      <c r="AB2" s="102"/>
      <c r="AC2" s="102"/>
    </row>
    <row r="3" spans="1:29" ht="16">
      <c r="A3" s="271" t="s">
        <v>127</v>
      </c>
      <c r="B3" s="284"/>
      <c r="C3" s="282"/>
      <c r="D3" s="278"/>
      <c r="E3" s="278"/>
      <c r="F3" s="289"/>
      <c r="G3" s="293"/>
      <c r="H3" s="282"/>
      <c r="I3" s="278"/>
      <c r="O3" s="272"/>
      <c r="P3"/>
      <c r="AC3" s="263"/>
    </row>
    <row r="4" spans="1:29" ht="16">
      <c r="A4" s="273" t="s">
        <v>450</v>
      </c>
      <c r="B4" s="285" t="s">
        <v>482</v>
      </c>
      <c r="C4" s="280"/>
      <c r="D4" s="279"/>
      <c r="E4" s="279"/>
      <c r="F4" s="290"/>
      <c r="G4" s="286"/>
      <c r="H4" s="280"/>
      <c r="I4" s="279"/>
      <c r="O4" s="272"/>
      <c r="P4" s="274"/>
      <c r="AC4" s="263"/>
    </row>
    <row r="5" spans="1:29" ht="15.75" customHeight="1">
      <c r="A5" s="275" t="s">
        <v>451</v>
      </c>
      <c r="B5" s="286"/>
      <c r="C5" s="280"/>
      <c r="D5" s="279"/>
      <c r="E5" s="279"/>
      <c r="F5" s="290"/>
      <c r="G5" s="286"/>
      <c r="H5" s="280"/>
      <c r="I5" s="279"/>
      <c r="O5" s="272"/>
      <c r="AC5" s="263"/>
    </row>
    <row r="6" spans="1:29" ht="16">
      <c r="A6" s="275" t="s">
        <v>452</v>
      </c>
      <c r="B6" s="286"/>
      <c r="C6" s="280"/>
      <c r="D6" s="279"/>
      <c r="E6" s="279"/>
      <c r="F6" s="290"/>
      <c r="G6" s="286"/>
      <c r="H6" s="280"/>
      <c r="I6" s="279"/>
      <c r="O6" s="272"/>
      <c r="AC6" s="263"/>
    </row>
    <row r="7" spans="1:29" ht="16">
      <c r="A7" s="275" t="s">
        <v>453</v>
      </c>
      <c r="B7" s="286"/>
      <c r="C7" s="280"/>
      <c r="D7" s="279"/>
      <c r="E7" s="279"/>
      <c r="F7" s="290"/>
      <c r="G7" s="286"/>
      <c r="H7" s="280"/>
      <c r="I7" s="279"/>
      <c r="O7" s="272"/>
      <c r="AC7" s="263"/>
    </row>
    <row r="8" spans="1:29" ht="16">
      <c r="A8" s="275" t="s">
        <v>454</v>
      </c>
      <c r="B8" s="286"/>
      <c r="C8" s="280"/>
      <c r="D8" s="279"/>
      <c r="E8" s="279"/>
      <c r="F8" s="290"/>
      <c r="G8" s="286"/>
      <c r="H8" s="280"/>
      <c r="I8" s="279"/>
      <c r="O8" s="272"/>
      <c r="AC8" s="263"/>
    </row>
    <row r="9" spans="1:29" ht="16">
      <c r="A9" s="275" t="s">
        <v>455</v>
      </c>
      <c r="B9" s="286"/>
      <c r="C9" s="280"/>
      <c r="D9" s="279"/>
      <c r="E9" s="279"/>
      <c r="F9" s="290"/>
      <c r="G9" s="286"/>
      <c r="H9" s="280"/>
      <c r="I9" s="279"/>
      <c r="O9" s="272"/>
      <c r="AC9" s="263"/>
    </row>
    <row r="10" spans="1:29" ht="16">
      <c r="A10" s="275" t="s">
        <v>456</v>
      </c>
      <c r="B10" s="286"/>
      <c r="C10" s="280"/>
      <c r="D10" s="279"/>
      <c r="E10" s="279"/>
      <c r="F10" s="290"/>
      <c r="G10" s="286"/>
      <c r="H10" s="280"/>
      <c r="I10" s="279"/>
      <c r="O10" s="272"/>
      <c r="AC10" s="263"/>
    </row>
    <row r="11" spans="1:29" ht="16">
      <c r="A11" s="275" t="s">
        <v>457</v>
      </c>
      <c r="B11" s="286"/>
      <c r="C11" s="280"/>
      <c r="D11" s="279"/>
      <c r="E11" s="279"/>
      <c r="F11" s="290"/>
      <c r="G11" s="286"/>
      <c r="H11" s="280"/>
      <c r="I11" s="279"/>
      <c r="O11" s="272"/>
      <c r="AC11" s="263"/>
    </row>
    <row r="12" spans="1:29" ht="16">
      <c r="A12" s="275" t="s">
        <v>458</v>
      </c>
      <c r="B12" s="286"/>
      <c r="C12" s="280"/>
      <c r="D12" s="279"/>
      <c r="E12" s="279"/>
      <c r="F12" s="290"/>
      <c r="G12" s="286"/>
      <c r="H12" s="280"/>
      <c r="I12" s="279"/>
      <c r="O12" s="272"/>
      <c r="AC12" s="263"/>
    </row>
    <row r="13" spans="1:29" ht="16">
      <c r="A13" s="275" t="s">
        <v>459</v>
      </c>
      <c r="B13" s="286"/>
      <c r="C13" s="280"/>
      <c r="D13" s="279"/>
      <c r="E13" s="279"/>
      <c r="F13" s="290"/>
      <c r="G13" s="286"/>
      <c r="H13" s="280"/>
      <c r="I13" s="279"/>
      <c r="O13" s="272"/>
      <c r="AC13" s="263"/>
    </row>
    <row r="14" spans="1:29" ht="16">
      <c r="A14" s="275" t="s">
        <v>460</v>
      </c>
      <c r="B14" s="286"/>
      <c r="C14" s="280"/>
      <c r="D14" s="279"/>
      <c r="E14" s="279"/>
      <c r="F14" s="290"/>
      <c r="G14" s="286"/>
      <c r="H14" s="280"/>
      <c r="I14" s="279"/>
      <c r="O14" s="272"/>
      <c r="AC14" s="263"/>
    </row>
    <row r="15" spans="1:29" ht="16">
      <c r="A15" s="275" t="s">
        <v>461</v>
      </c>
      <c r="B15" s="286"/>
      <c r="C15" s="280"/>
      <c r="D15" s="279"/>
      <c r="E15" s="279"/>
      <c r="F15" s="290"/>
      <c r="G15" s="286"/>
      <c r="H15" s="280"/>
      <c r="I15" s="279"/>
      <c r="O15" s="272"/>
      <c r="AC15" s="263"/>
    </row>
    <row r="16" spans="1:29" ht="16">
      <c r="A16" s="275" t="s">
        <v>462</v>
      </c>
      <c r="B16" s="286"/>
      <c r="C16" s="280"/>
      <c r="D16" s="279"/>
      <c r="E16" s="279"/>
      <c r="F16" s="290"/>
      <c r="G16" s="286"/>
      <c r="H16" s="280"/>
      <c r="I16" s="279"/>
      <c r="O16" s="272"/>
      <c r="AC16" s="263"/>
    </row>
    <row r="17" spans="1:29" ht="16">
      <c r="A17" s="275" t="s">
        <v>463</v>
      </c>
      <c r="B17" s="286"/>
      <c r="C17" s="280"/>
      <c r="D17" s="279"/>
      <c r="E17" s="279"/>
      <c r="F17" s="290"/>
      <c r="G17" s="286"/>
      <c r="H17" s="280"/>
      <c r="I17" s="279"/>
      <c r="O17" s="272"/>
      <c r="AC17" s="263"/>
    </row>
    <row r="18" spans="1:29" ht="16">
      <c r="A18" s="275" t="s">
        <v>464</v>
      </c>
      <c r="B18" s="286"/>
      <c r="C18" s="280"/>
      <c r="D18" s="279"/>
      <c r="E18" s="279"/>
      <c r="F18" s="290"/>
      <c r="G18" s="286"/>
      <c r="H18" s="280"/>
      <c r="I18" s="279"/>
      <c r="O18" s="272"/>
      <c r="AC18" s="263"/>
    </row>
    <row r="19" spans="1:29" ht="16">
      <c r="A19" s="275" t="s">
        <v>465</v>
      </c>
      <c r="B19" s="286"/>
      <c r="C19" s="280"/>
      <c r="D19" s="279"/>
      <c r="E19" s="279"/>
      <c r="F19" s="290"/>
      <c r="G19" s="286"/>
      <c r="H19" s="280"/>
      <c r="I19" s="279"/>
      <c r="O19" s="272"/>
      <c r="AC19" s="263"/>
    </row>
    <row r="20" spans="1:29" ht="16">
      <c r="A20" s="275" t="s">
        <v>466</v>
      </c>
      <c r="B20" s="286"/>
      <c r="C20" s="280"/>
      <c r="D20" s="279"/>
      <c r="E20" s="279"/>
      <c r="F20" s="290"/>
      <c r="G20" s="286"/>
      <c r="H20" s="280"/>
      <c r="I20" s="279"/>
      <c r="O20" s="272"/>
      <c r="AC20" s="263"/>
    </row>
    <row r="21" spans="1:29" ht="16">
      <c r="A21" s="275" t="s">
        <v>467</v>
      </c>
      <c r="B21" s="286"/>
      <c r="C21" s="280"/>
      <c r="D21" s="279"/>
      <c r="E21" s="279"/>
      <c r="F21" s="290"/>
      <c r="G21" s="286"/>
      <c r="H21" s="280"/>
      <c r="I21" s="279"/>
      <c r="O21" s="272"/>
      <c r="AC21" s="263"/>
    </row>
    <row r="22" spans="1:29" ht="16">
      <c r="A22" s="275" t="s">
        <v>468</v>
      </c>
      <c r="B22" s="286"/>
      <c r="C22" s="280"/>
      <c r="D22" s="279"/>
      <c r="E22" s="279"/>
      <c r="F22" s="290"/>
      <c r="G22" s="286"/>
      <c r="H22" s="280"/>
      <c r="I22" s="279"/>
      <c r="O22" s="272"/>
      <c r="AC22" s="263"/>
    </row>
    <row r="23" spans="1:29" ht="16">
      <c r="A23" s="275" t="s">
        <v>469</v>
      </c>
      <c r="B23" s="286"/>
      <c r="C23" s="280"/>
      <c r="D23" s="279"/>
      <c r="E23" s="279"/>
      <c r="F23" s="290"/>
      <c r="G23" s="286"/>
      <c r="H23" s="280"/>
      <c r="I23" s="279"/>
      <c r="O23" s="272"/>
      <c r="AC23" s="263"/>
    </row>
    <row r="24" spans="1:29" ht="16">
      <c r="A24" s="275" t="s">
        <v>470</v>
      </c>
      <c r="B24" s="286"/>
      <c r="C24" s="280"/>
      <c r="D24" s="279"/>
      <c r="E24" s="279"/>
      <c r="F24" s="290"/>
      <c r="G24" s="286"/>
      <c r="H24" s="280"/>
      <c r="I24" s="279"/>
      <c r="O24" s="272"/>
      <c r="AC24" s="263"/>
    </row>
    <row r="25" spans="1:29" ht="16">
      <c r="A25" s="275" t="s">
        <v>471</v>
      </c>
      <c r="B25" s="286"/>
      <c r="C25" s="280"/>
      <c r="D25" s="279"/>
      <c r="E25" s="279"/>
      <c r="F25" s="290"/>
      <c r="G25" s="286"/>
      <c r="H25" s="280"/>
      <c r="I25" s="279"/>
      <c r="O25" s="272"/>
      <c r="AC25" s="263"/>
    </row>
    <row r="26" spans="1:29" ht="16">
      <c r="A26" s="275" t="s">
        <v>472</v>
      </c>
      <c r="B26" s="286"/>
      <c r="C26" s="280"/>
      <c r="D26" s="279"/>
      <c r="E26" s="279"/>
      <c r="F26" s="290"/>
      <c r="G26" s="286"/>
      <c r="H26" s="280"/>
      <c r="I26" s="279"/>
      <c r="O26" s="272"/>
      <c r="AC26" s="263"/>
    </row>
    <row r="27" spans="1:29" ht="16">
      <c r="A27" s="275" t="s">
        <v>473</v>
      </c>
      <c r="B27" s="286"/>
      <c r="C27" s="280"/>
      <c r="D27" s="279"/>
      <c r="E27" s="279"/>
      <c r="F27" s="290"/>
      <c r="G27" s="286"/>
      <c r="H27" s="280"/>
      <c r="I27" s="279"/>
      <c r="O27" s="272"/>
      <c r="AC27" s="263"/>
    </row>
    <row r="28" spans="1:29" ht="16">
      <c r="A28" s="275" t="s">
        <v>474</v>
      </c>
      <c r="B28" s="286"/>
      <c r="C28" s="280"/>
      <c r="D28" s="279"/>
      <c r="E28" s="279"/>
      <c r="F28" s="290"/>
      <c r="G28" s="286"/>
      <c r="H28" s="280"/>
      <c r="I28" s="279"/>
      <c r="O28" s="272"/>
      <c r="AC28" s="263"/>
    </row>
    <row r="29" spans="1:29" ht="16">
      <c r="A29" s="275" t="s">
        <v>475</v>
      </c>
      <c r="B29" s="286"/>
      <c r="C29" s="280"/>
      <c r="D29" s="279"/>
      <c r="E29" s="279"/>
      <c r="F29" s="290"/>
      <c r="G29" s="286"/>
      <c r="H29" s="280"/>
      <c r="I29" s="279"/>
      <c r="O29" s="272"/>
      <c r="AC29" s="263"/>
    </row>
    <row r="30" spans="1:29" ht="16">
      <c r="A30" s="275" t="s">
        <v>476</v>
      </c>
      <c r="B30" s="286"/>
      <c r="C30" s="280"/>
      <c r="D30" s="279"/>
      <c r="E30" s="279"/>
      <c r="F30" s="290"/>
      <c r="G30" s="286"/>
      <c r="H30" s="280"/>
      <c r="I30" s="279"/>
      <c r="O30" s="272"/>
      <c r="AC30" s="263"/>
    </row>
    <row r="31" spans="1:29" ht="16">
      <c r="A31" s="275" t="s">
        <v>477</v>
      </c>
      <c r="B31" s="286"/>
      <c r="C31" s="280"/>
      <c r="D31" s="279"/>
      <c r="E31" s="279"/>
      <c r="F31" s="290"/>
      <c r="G31" s="286"/>
      <c r="H31" s="280"/>
      <c r="I31" s="279"/>
      <c r="O31" s="272"/>
      <c r="AC31" s="263"/>
    </row>
    <row r="32" spans="1:29" ht="16">
      <c r="A32" s="275" t="s">
        <v>478</v>
      </c>
      <c r="B32" s="286"/>
      <c r="C32" s="280"/>
      <c r="D32" s="279"/>
      <c r="E32" s="279"/>
      <c r="F32" s="290"/>
      <c r="G32" s="286"/>
      <c r="H32" s="280"/>
      <c r="I32" s="279"/>
      <c r="O32" s="272"/>
      <c r="AC32" s="263"/>
    </row>
    <row r="33" spans="1:29" ht="16">
      <c r="A33" s="275" t="s">
        <v>479</v>
      </c>
      <c r="B33" s="286"/>
      <c r="C33" s="280"/>
      <c r="D33" s="279"/>
      <c r="E33" s="279"/>
      <c r="F33" s="290"/>
      <c r="G33" s="286"/>
      <c r="H33" s="280"/>
      <c r="I33" s="279"/>
      <c r="O33" s="272"/>
      <c r="AC33" s="263"/>
    </row>
    <row r="34" spans="1:29" ht="17" thickBot="1">
      <c r="A34" s="276" t="s">
        <v>480</v>
      </c>
      <c r="B34" s="287"/>
      <c r="C34" s="277"/>
      <c r="D34" s="227"/>
      <c r="E34" s="227"/>
      <c r="F34" s="291"/>
      <c r="G34" s="287"/>
      <c r="H34" s="277"/>
      <c r="I34" s="227"/>
      <c r="O34" s="272"/>
      <c r="P34"/>
      <c r="Q34"/>
      <c r="R34"/>
      <c r="S34"/>
      <c r="T34"/>
      <c r="U34"/>
      <c r="V34"/>
      <c r="W34"/>
      <c r="X34"/>
      <c r="Y34"/>
      <c r="Z34"/>
      <c r="AA34"/>
      <c r="AB34"/>
    </row>
    <row r="37" spans="1:29" ht="16" thickBot="1"/>
    <row r="38" spans="1:29" ht="33" thickBot="1">
      <c r="A38" s="266" t="s">
        <v>481</v>
      </c>
      <c r="B38" s="283" t="s">
        <v>444</v>
      </c>
      <c r="C38" s="281" t="s">
        <v>445</v>
      </c>
      <c r="D38" s="267" t="s">
        <v>446</v>
      </c>
      <c r="E38" s="267" t="s">
        <v>447</v>
      </c>
      <c r="F38" s="288" t="s">
        <v>102</v>
      </c>
      <c r="G38" s="283" t="s">
        <v>448</v>
      </c>
      <c r="H38" s="292" t="s">
        <v>445</v>
      </c>
      <c r="I38" s="268" t="s">
        <v>102</v>
      </c>
    </row>
    <row r="39" spans="1:29" ht="16">
      <c r="A39" s="271" t="s">
        <v>127</v>
      </c>
      <c r="B39" s="877" t="s">
        <v>449</v>
      </c>
      <c r="C39" s="878"/>
      <c r="D39" s="878"/>
      <c r="E39" s="878"/>
      <c r="F39" s="878"/>
      <c r="G39" s="878"/>
      <c r="H39" s="878"/>
      <c r="I39" s="879"/>
    </row>
    <row r="40" spans="1:29" ht="16">
      <c r="A40" s="273" t="s">
        <v>450</v>
      </c>
      <c r="B40" s="880"/>
      <c r="C40" s="881"/>
      <c r="D40" s="881"/>
      <c r="E40" s="881"/>
      <c r="F40" s="881"/>
      <c r="G40" s="881"/>
      <c r="H40" s="881"/>
      <c r="I40" s="882"/>
    </row>
    <row r="41" spans="1:29" ht="16">
      <c r="A41" s="275" t="s">
        <v>451</v>
      </c>
      <c r="B41" s="880"/>
      <c r="C41" s="881"/>
      <c r="D41" s="881"/>
      <c r="E41" s="881"/>
      <c r="F41" s="881"/>
      <c r="G41" s="881"/>
      <c r="H41" s="881"/>
      <c r="I41" s="882"/>
    </row>
    <row r="42" spans="1:29" ht="16">
      <c r="A42" s="275" t="s">
        <v>452</v>
      </c>
      <c r="B42" s="880"/>
      <c r="C42" s="881"/>
      <c r="D42" s="881"/>
      <c r="E42" s="881"/>
      <c r="F42" s="881"/>
      <c r="G42" s="881"/>
      <c r="H42" s="881"/>
      <c r="I42" s="882"/>
    </row>
    <row r="43" spans="1:29" ht="16">
      <c r="A43" s="275" t="s">
        <v>453</v>
      </c>
      <c r="B43" s="880"/>
      <c r="C43" s="881"/>
      <c r="D43" s="881"/>
      <c r="E43" s="881"/>
      <c r="F43" s="881"/>
      <c r="G43" s="881"/>
      <c r="H43" s="881"/>
      <c r="I43" s="882"/>
    </row>
    <row r="44" spans="1:29" ht="16">
      <c r="A44" s="275" t="s">
        <v>454</v>
      </c>
      <c r="B44" s="880"/>
      <c r="C44" s="881"/>
      <c r="D44" s="881"/>
      <c r="E44" s="881"/>
      <c r="F44" s="881"/>
      <c r="G44" s="881"/>
      <c r="H44" s="881"/>
      <c r="I44" s="882"/>
    </row>
    <row r="45" spans="1:29" ht="16">
      <c r="A45" s="275" t="s">
        <v>455</v>
      </c>
      <c r="B45" s="880"/>
      <c r="C45" s="881"/>
      <c r="D45" s="881"/>
      <c r="E45" s="881"/>
      <c r="F45" s="881"/>
      <c r="G45" s="881"/>
      <c r="H45" s="881"/>
      <c r="I45" s="882"/>
    </row>
    <row r="46" spans="1:29" ht="16">
      <c r="A46" s="275" t="s">
        <v>456</v>
      </c>
      <c r="B46" s="880"/>
      <c r="C46" s="881"/>
      <c r="D46" s="881"/>
      <c r="E46" s="881"/>
      <c r="F46" s="881"/>
      <c r="G46" s="881"/>
      <c r="H46" s="881"/>
      <c r="I46" s="882"/>
    </row>
    <row r="47" spans="1:29" ht="16">
      <c r="A47" s="275" t="s">
        <v>457</v>
      </c>
      <c r="B47" s="880"/>
      <c r="C47" s="881"/>
      <c r="D47" s="881"/>
      <c r="E47" s="881"/>
      <c r="F47" s="881"/>
      <c r="G47" s="881"/>
      <c r="H47" s="881"/>
      <c r="I47" s="882"/>
    </row>
    <row r="48" spans="1:29" ht="16">
      <c r="A48" s="275" t="s">
        <v>458</v>
      </c>
      <c r="B48" s="880"/>
      <c r="C48" s="881"/>
      <c r="D48" s="881"/>
      <c r="E48" s="881"/>
      <c r="F48" s="881"/>
      <c r="G48" s="881"/>
      <c r="H48" s="881"/>
      <c r="I48" s="882"/>
    </row>
    <row r="49" spans="1:9" ht="16">
      <c r="A49" s="275" t="s">
        <v>459</v>
      </c>
      <c r="B49" s="880"/>
      <c r="C49" s="881"/>
      <c r="D49" s="881"/>
      <c r="E49" s="881"/>
      <c r="F49" s="881"/>
      <c r="G49" s="881"/>
      <c r="H49" s="881"/>
      <c r="I49" s="882"/>
    </row>
    <row r="50" spans="1:9" ht="16">
      <c r="A50" s="275" t="s">
        <v>460</v>
      </c>
      <c r="B50" s="880"/>
      <c r="C50" s="881"/>
      <c r="D50" s="881"/>
      <c r="E50" s="881"/>
      <c r="F50" s="881"/>
      <c r="G50" s="881"/>
      <c r="H50" s="881"/>
      <c r="I50" s="882"/>
    </row>
    <row r="51" spans="1:9" ht="16">
      <c r="A51" s="275" t="s">
        <v>461</v>
      </c>
      <c r="B51" s="880"/>
      <c r="C51" s="881"/>
      <c r="D51" s="881"/>
      <c r="E51" s="881"/>
      <c r="F51" s="881"/>
      <c r="G51" s="881"/>
      <c r="H51" s="881"/>
      <c r="I51" s="882"/>
    </row>
    <row r="52" spans="1:9" ht="16">
      <c r="A52" s="275" t="s">
        <v>462</v>
      </c>
      <c r="B52" s="880"/>
      <c r="C52" s="881"/>
      <c r="D52" s="881"/>
      <c r="E52" s="881"/>
      <c r="F52" s="881"/>
      <c r="G52" s="881"/>
      <c r="H52" s="881"/>
      <c r="I52" s="882"/>
    </row>
    <row r="53" spans="1:9" ht="16">
      <c r="A53" s="275" t="s">
        <v>463</v>
      </c>
      <c r="B53" s="880"/>
      <c r="C53" s="881"/>
      <c r="D53" s="881"/>
      <c r="E53" s="881"/>
      <c r="F53" s="881"/>
      <c r="G53" s="881"/>
      <c r="H53" s="881"/>
      <c r="I53" s="882"/>
    </row>
    <row r="54" spans="1:9" ht="16">
      <c r="A54" s="275" t="s">
        <v>464</v>
      </c>
      <c r="B54" s="880"/>
      <c r="C54" s="881"/>
      <c r="D54" s="881"/>
      <c r="E54" s="881"/>
      <c r="F54" s="881"/>
      <c r="G54" s="881"/>
      <c r="H54" s="881"/>
      <c r="I54" s="882"/>
    </row>
    <row r="55" spans="1:9" ht="16">
      <c r="A55" s="275" t="s">
        <v>465</v>
      </c>
      <c r="B55" s="880"/>
      <c r="C55" s="881"/>
      <c r="D55" s="881"/>
      <c r="E55" s="881"/>
      <c r="F55" s="881"/>
      <c r="G55" s="881"/>
      <c r="H55" s="881"/>
      <c r="I55" s="882"/>
    </row>
    <row r="56" spans="1:9" ht="16">
      <c r="A56" s="275" t="s">
        <v>466</v>
      </c>
      <c r="B56" s="880"/>
      <c r="C56" s="881"/>
      <c r="D56" s="881"/>
      <c r="E56" s="881"/>
      <c r="F56" s="881"/>
      <c r="G56" s="881"/>
      <c r="H56" s="881"/>
      <c r="I56" s="882"/>
    </row>
    <row r="57" spans="1:9" ht="16">
      <c r="A57" s="275" t="s">
        <v>467</v>
      </c>
      <c r="B57" s="880"/>
      <c r="C57" s="881"/>
      <c r="D57" s="881"/>
      <c r="E57" s="881"/>
      <c r="F57" s="881"/>
      <c r="G57" s="881"/>
      <c r="H57" s="881"/>
      <c r="I57" s="882"/>
    </row>
    <row r="58" spans="1:9" ht="16">
      <c r="A58" s="275" t="s">
        <v>468</v>
      </c>
      <c r="B58" s="880"/>
      <c r="C58" s="881"/>
      <c r="D58" s="881"/>
      <c r="E58" s="881"/>
      <c r="F58" s="881"/>
      <c r="G58" s="881"/>
      <c r="H58" s="881"/>
      <c r="I58" s="882"/>
    </row>
    <row r="59" spans="1:9" ht="16">
      <c r="A59" s="275" t="s">
        <v>469</v>
      </c>
      <c r="B59" s="880"/>
      <c r="C59" s="881"/>
      <c r="D59" s="881"/>
      <c r="E59" s="881"/>
      <c r="F59" s="881"/>
      <c r="G59" s="881"/>
      <c r="H59" s="881"/>
      <c r="I59" s="882"/>
    </row>
    <row r="60" spans="1:9" ht="16">
      <c r="A60" s="275" t="s">
        <v>470</v>
      </c>
      <c r="B60" s="880"/>
      <c r="C60" s="881"/>
      <c r="D60" s="881"/>
      <c r="E60" s="881"/>
      <c r="F60" s="881"/>
      <c r="G60" s="881"/>
      <c r="H60" s="881"/>
      <c r="I60" s="882"/>
    </row>
    <row r="61" spans="1:9" ht="16">
      <c r="A61" s="275" t="s">
        <v>471</v>
      </c>
      <c r="B61" s="880"/>
      <c r="C61" s="881"/>
      <c r="D61" s="881"/>
      <c r="E61" s="881"/>
      <c r="F61" s="881"/>
      <c r="G61" s="881"/>
      <c r="H61" s="881"/>
      <c r="I61" s="882"/>
    </row>
    <row r="62" spans="1:9" ht="16">
      <c r="A62" s="275" t="s">
        <v>472</v>
      </c>
      <c r="B62" s="880"/>
      <c r="C62" s="881"/>
      <c r="D62" s="881"/>
      <c r="E62" s="881"/>
      <c r="F62" s="881"/>
      <c r="G62" s="881"/>
      <c r="H62" s="881"/>
      <c r="I62" s="882"/>
    </row>
    <row r="63" spans="1:9" ht="16">
      <c r="A63" s="275" t="s">
        <v>473</v>
      </c>
      <c r="B63" s="880"/>
      <c r="C63" s="881"/>
      <c r="D63" s="881"/>
      <c r="E63" s="881"/>
      <c r="F63" s="881"/>
      <c r="G63" s="881"/>
      <c r="H63" s="881"/>
      <c r="I63" s="882"/>
    </row>
    <row r="64" spans="1:9" ht="16">
      <c r="A64" s="275" t="s">
        <v>474</v>
      </c>
      <c r="B64" s="880"/>
      <c r="C64" s="881"/>
      <c r="D64" s="881"/>
      <c r="E64" s="881"/>
      <c r="F64" s="881"/>
      <c r="G64" s="881"/>
      <c r="H64" s="881"/>
      <c r="I64" s="882"/>
    </row>
    <row r="65" spans="1:9" ht="16">
      <c r="A65" s="275" t="s">
        <v>475</v>
      </c>
      <c r="B65" s="880"/>
      <c r="C65" s="881"/>
      <c r="D65" s="881"/>
      <c r="E65" s="881"/>
      <c r="F65" s="881"/>
      <c r="G65" s="881"/>
      <c r="H65" s="881"/>
      <c r="I65" s="882"/>
    </row>
    <row r="66" spans="1:9" ht="16">
      <c r="A66" s="275" t="s">
        <v>476</v>
      </c>
      <c r="B66" s="880"/>
      <c r="C66" s="881"/>
      <c r="D66" s="881"/>
      <c r="E66" s="881"/>
      <c r="F66" s="881"/>
      <c r="G66" s="881"/>
      <c r="H66" s="881"/>
      <c r="I66" s="882"/>
    </row>
    <row r="67" spans="1:9" ht="16">
      <c r="A67" s="275" t="s">
        <v>477</v>
      </c>
      <c r="B67" s="880"/>
      <c r="C67" s="881"/>
      <c r="D67" s="881"/>
      <c r="E67" s="881"/>
      <c r="F67" s="881"/>
      <c r="G67" s="881"/>
      <c r="H67" s="881"/>
      <c r="I67" s="882"/>
    </row>
    <row r="68" spans="1:9" ht="16">
      <c r="A68" s="275" t="s">
        <v>478</v>
      </c>
      <c r="B68" s="880"/>
      <c r="C68" s="881"/>
      <c r="D68" s="881"/>
      <c r="E68" s="881"/>
      <c r="F68" s="881"/>
      <c r="G68" s="881"/>
      <c r="H68" s="881"/>
      <c r="I68" s="882"/>
    </row>
    <row r="69" spans="1:9" ht="16">
      <c r="A69" s="275" t="s">
        <v>479</v>
      </c>
      <c r="B69" s="880"/>
      <c r="C69" s="881"/>
      <c r="D69" s="881"/>
      <c r="E69" s="881"/>
      <c r="F69" s="881"/>
      <c r="G69" s="881"/>
      <c r="H69" s="881"/>
      <c r="I69" s="882"/>
    </row>
    <row r="70" spans="1:9" ht="17" thickBot="1">
      <c r="A70" s="276" t="s">
        <v>480</v>
      </c>
      <c r="B70" s="880"/>
      <c r="C70" s="881"/>
      <c r="D70" s="881"/>
      <c r="E70" s="881"/>
      <c r="F70" s="881"/>
      <c r="G70" s="881"/>
      <c r="H70" s="881"/>
      <c r="I70" s="882"/>
    </row>
  </sheetData>
  <mergeCells count="1">
    <mergeCell ref="B39:I70"/>
  </mergeCells>
  <pageMargins left="0.7" right="0.7" top="0.75" bottom="0.75" header="0.3" footer="0.3"/>
  <pageSetup paperSize="9" scale="6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I138"/>
  <sheetViews>
    <sheetView zoomScaleNormal="100" workbookViewId="0">
      <selection activeCell="D14" sqref="D14"/>
    </sheetView>
  </sheetViews>
  <sheetFormatPr baseColWidth="10" defaultColWidth="8.83203125" defaultRowHeight="15"/>
  <cols>
    <col min="1" max="1" width="26" customWidth="1"/>
    <col min="2" max="2" width="11.5" customWidth="1"/>
    <col min="4" max="4" width="20.83203125" customWidth="1"/>
    <col min="6" max="8" width="12.5" bestFit="1" customWidth="1"/>
    <col min="9" max="9" width="13.1640625" bestFit="1" customWidth="1"/>
  </cols>
  <sheetData>
    <row r="1" spans="1:9" ht="16" thickBot="1"/>
    <row r="2" spans="1:9">
      <c r="A2" s="889" t="str">
        <f>'Parametre - Agendové IS'!G1</f>
        <v>eSlužby ZŠ, SŠ</v>
      </c>
      <c r="B2" s="890"/>
      <c r="C2" s="891"/>
      <c r="D2" s="895" t="s">
        <v>81</v>
      </c>
      <c r="E2" s="896"/>
      <c r="F2" s="314" t="s">
        <v>483</v>
      </c>
      <c r="G2" s="314" t="s">
        <v>484</v>
      </c>
      <c r="H2" s="314" t="s">
        <v>485</v>
      </c>
      <c r="I2" s="314" t="s">
        <v>486</v>
      </c>
    </row>
    <row r="3" spans="1:9" ht="16" thickBot="1">
      <c r="A3" s="892"/>
      <c r="B3" s="893"/>
      <c r="C3" s="894"/>
      <c r="D3" s="507" t="s">
        <v>487</v>
      </c>
      <c r="E3" s="508" t="s">
        <v>113</v>
      </c>
      <c r="F3" s="163" t="s">
        <v>113</v>
      </c>
      <c r="G3" s="163" t="s">
        <v>113</v>
      </c>
      <c r="H3" s="163" t="s">
        <v>113</v>
      </c>
      <c r="I3" s="163" t="s">
        <v>113</v>
      </c>
    </row>
    <row r="4" spans="1:9" ht="15" customHeight="1">
      <c r="A4" s="883" t="s">
        <v>488</v>
      </c>
      <c r="B4" s="886" t="s">
        <v>197</v>
      </c>
      <c r="C4" s="164" t="s">
        <v>115</v>
      </c>
      <c r="D4" s="509" t="str">
        <f>IF(E4='Parametre - Agendové IS'!H87,"OK","Chyba počtu FTE")</f>
        <v>Chyba počtu FTE</v>
      </c>
      <c r="E4" s="510">
        <f t="shared" ref="E4:E33" si="0">F4+G4+H4+I4</f>
        <v>0</v>
      </c>
      <c r="F4" s="226"/>
      <c r="G4" s="226"/>
      <c r="H4" s="226"/>
      <c r="I4" s="226"/>
    </row>
    <row r="5" spans="1:9">
      <c r="A5" s="884"/>
      <c r="B5" s="887"/>
      <c r="C5" s="161" t="s">
        <v>116</v>
      </c>
      <c r="D5" s="511" t="str">
        <f>IF(E5='Parametre - Agendové IS'!H88,"OK","Chyba počtu FTE")</f>
        <v>Chyba počtu FTE</v>
      </c>
      <c r="E5" s="512">
        <f t="shared" si="0"/>
        <v>0</v>
      </c>
      <c r="F5" s="227"/>
      <c r="G5" s="227"/>
      <c r="H5" s="227"/>
      <c r="I5" s="227"/>
    </row>
    <row r="6" spans="1:9">
      <c r="A6" s="884"/>
      <c r="B6" s="887"/>
      <c r="C6" s="161" t="s">
        <v>117</v>
      </c>
      <c r="D6" s="511" t="str">
        <f>IF(E6='Parametre - Agendové IS'!H89,"OK","Chyba počtu FTE")</f>
        <v>OK</v>
      </c>
      <c r="E6" s="512">
        <f t="shared" si="0"/>
        <v>0</v>
      </c>
      <c r="F6" s="227"/>
      <c r="G6" s="227"/>
      <c r="H6" s="227"/>
      <c r="I6" s="227"/>
    </row>
    <row r="7" spans="1:9">
      <c r="A7" s="884"/>
      <c r="B7" s="887"/>
      <c r="C7" s="161" t="s">
        <v>118</v>
      </c>
      <c r="D7" s="511" t="str">
        <f>IF(E7='Parametre - Agendové IS'!H90,"OK","Chyba počtu FTE")</f>
        <v>OK</v>
      </c>
      <c r="E7" s="512">
        <f t="shared" si="0"/>
        <v>0</v>
      </c>
      <c r="F7" s="227"/>
      <c r="G7" s="227"/>
      <c r="H7" s="227"/>
      <c r="I7" s="227"/>
    </row>
    <row r="8" spans="1:9">
      <c r="A8" s="884"/>
      <c r="B8" s="887"/>
      <c r="C8" s="161" t="s">
        <v>119</v>
      </c>
      <c r="D8" s="511" t="str">
        <f>IF(E8='Parametre - Agendové IS'!H91,"OK","Chyba počtu FTE")</f>
        <v>OK</v>
      </c>
      <c r="E8" s="512">
        <f t="shared" si="0"/>
        <v>0</v>
      </c>
      <c r="F8" s="227"/>
      <c r="G8" s="227"/>
      <c r="H8" s="227"/>
      <c r="I8" s="227"/>
    </row>
    <row r="9" spans="1:9">
      <c r="A9" s="884"/>
      <c r="B9" s="887"/>
      <c r="C9" s="161" t="s">
        <v>120</v>
      </c>
      <c r="D9" s="511" t="str">
        <f>IF(E9='Parametre - Agendové IS'!H92,"OK","Chyba počtu FTE")</f>
        <v>OK</v>
      </c>
      <c r="E9" s="512">
        <f t="shared" si="0"/>
        <v>0</v>
      </c>
      <c r="F9" s="227"/>
      <c r="G9" s="227"/>
      <c r="H9" s="227"/>
      <c r="I9" s="227"/>
    </row>
    <row r="10" spans="1:9">
      <c r="A10" s="884"/>
      <c r="B10" s="887"/>
      <c r="C10" s="161" t="s">
        <v>121</v>
      </c>
      <c r="D10" s="511" t="str">
        <f>IF(E10='Parametre - Agendové IS'!H93,"OK","Chyba počtu FTE")</f>
        <v>OK</v>
      </c>
      <c r="E10" s="512">
        <f t="shared" si="0"/>
        <v>0</v>
      </c>
      <c r="F10" s="227"/>
      <c r="G10" s="227"/>
      <c r="H10" s="227"/>
      <c r="I10" s="227"/>
    </row>
    <row r="11" spans="1:9">
      <c r="A11" s="884"/>
      <c r="B11" s="887"/>
      <c r="C11" s="161" t="s">
        <v>122</v>
      </c>
      <c r="D11" s="511" t="str">
        <f>IF(E11='Parametre - Agendové IS'!H94,"OK","Chyba počtu FTE")</f>
        <v>OK</v>
      </c>
      <c r="E11" s="512">
        <f t="shared" si="0"/>
        <v>0</v>
      </c>
      <c r="F11" s="227"/>
      <c r="G11" s="227"/>
      <c r="H11" s="227"/>
      <c r="I11" s="227"/>
    </row>
    <row r="12" spans="1:9">
      <c r="A12" s="884"/>
      <c r="B12" s="887"/>
      <c r="C12" s="161" t="s">
        <v>123</v>
      </c>
      <c r="D12" s="511" t="str">
        <f>IF(E12='Parametre - Agendové IS'!H95,"OK","Chyba počtu FTE")</f>
        <v>OK</v>
      </c>
      <c r="E12" s="512">
        <f t="shared" si="0"/>
        <v>0</v>
      </c>
      <c r="F12" s="227"/>
      <c r="G12" s="227"/>
      <c r="H12" s="227"/>
      <c r="I12" s="227"/>
    </row>
    <row r="13" spans="1:9" ht="16" thickBot="1">
      <c r="A13" s="884"/>
      <c r="B13" s="887"/>
      <c r="C13" s="161" t="s">
        <v>124</v>
      </c>
      <c r="D13" s="513" t="str">
        <f>IF(E13='Parametre - Agendové IS'!H96,"OK","Chyba počtu FTE")</f>
        <v>OK</v>
      </c>
      <c r="E13" s="514">
        <f t="shared" si="0"/>
        <v>0</v>
      </c>
      <c r="F13" s="228"/>
      <c r="G13" s="228"/>
      <c r="H13" s="228"/>
      <c r="I13" s="228"/>
    </row>
    <row r="14" spans="1:9" ht="15" customHeight="1">
      <c r="A14" s="883" t="s">
        <v>489</v>
      </c>
      <c r="B14" s="886" t="s">
        <v>188</v>
      </c>
      <c r="C14" s="164" t="s">
        <v>115</v>
      </c>
      <c r="D14" s="510" t="str">
        <f>IF(E14='Parametre - Agendové IS'!H6,"OK","Chyba počtu podaní")</f>
        <v>Chyba počtu podaní</v>
      </c>
      <c r="E14" s="515">
        <f t="shared" si="0"/>
        <v>0</v>
      </c>
      <c r="F14" s="226"/>
      <c r="G14" s="226"/>
      <c r="H14" s="226"/>
      <c r="I14" s="226"/>
    </row>
    <row r="15" spans="1:9">
      <c r="A15" s="884"/>
      <c r="B15" s="887"/>
      <c r="C15" s="161" t="s">
        <v>116</v>
      </c>
      <c r="D15" s="511" t="str">
        <f>IF(E15='Parametre - Agendové IS'!H7,"OK","Chyba počtu podaní")</f>
        <v>Chyba počtu podaní</v>
      </c>
      <c r="E15" s="512">
        <f t="shared" si="0"/>
        <v>0</v>
      </c>
      <c r="F15" s="227"/>
      <c r="G15" s="227"/>
      <c r="H15" s="227"/>
      <c r="I15" s="227"/>
    </row>
    <row r="16" spans="1:9">
      <c r="A16" s="884"/>
      <c r="B16" s="887"/>
      <c r="C16" s="161" t="s">
        <v>117</v>
      </c>
      <c r="D16" s="511" t="str">
        <f>IF(E16='Parametre - Agendové IS'!H8,"OK","Chyba počtu podaní")</f>
        <v>Chyba počtu podaní</v>
      </c>
      <c r="E16" s="512">
        <f t="shared" si="0"/>
        <v>0</v>
      </c>
      <c r="F16" s="227"/>
      <c r="G16" s="227"/>
      <c r="H16" s="227"/>
      <c r="I16" s="227"/>
    </row>
    <row r="17" spans="1:9">
      <c r="A17" s="884"/>
      <c r="B17" s="887"/>
      <c r="C17" s="161" t="s">
        <v>118</v>
      </c>
      <c r="D17" s="511" t="str">
        <f>IF(E17='Parametre - Agendové IS'!H9,"OK","Chyba počtu podaní")</f>
        <v>Chyba počtu podaní</v>
      </c>
      <c r="E17" s="512">
        <f t="shared" si="0"/>
        <v>0</v>
      </c>
      <c r="F17" s="227"/>
      <c r="G17" s="227"/>
      <c r="H17" s="227"/>
      <c r="I17" s="227"/>
    </row>
    <row r="18" spans="1:9">
      <c r="A18" s="884"/>
      <c r="B18" s="887"/>
      <c r="C18" s="161" t="s">
        <v>119</v>
      </c>
      <c r="D18" s="511" t="str">
        <f>IF(E18='Parametre - Agendové IS'!H10,"OK","Chyba počtu podaní")</f>
        <v>Chyba počtu podaní</v>
      </c>
      <c r="E18" s="512">
        <f t="shared" si="0"/>
        <v>0</v>
      </c>
      <c r="F18" s="227"/>
      <c r="G18" s="227"/>
      <c r="H18" s="227"/>
      <c r="I18" s="227"/>
    </row>
    <row r="19" spans="1:9">
      <c r="A19" s="884"/>
      <c r="B19" s="887"/>
      <c r="C19" s="161" t="s">
        <v>120</v>
      </c>
      <c r="D19" s="511" t="str">
        <f>IF(E19='Parametre - Agendové IS'!H11,"OK","Chyba počtu podaní")</f>
        <v>Chyba počtu podaní</v>
      </c>
      <c r="E19" s="512">
        <f t="shared" si="0"/>
        <v>0</v>
      </c>
      <c r="F19" s="227"/>
      <c r="G19" s="227"/>
      <c r="H19" s="227"/>
      <c r="I19" s="227"/>
    </row>
    <row r="20" spans="1:9">
      <c r="A20" s="884"/>
      <c r="B20" s="887"/>
      <c r="C20" s="161" t="s">
        <v>121</v>
      </c>
      <c r="D20" s="511" t="str">
        <f>IF(E20='Parametre - Agendové IS'!H12,"OK","Chyba počtu podaní")</f>
        <v>Chyba počtu podaní</v>
      </c>
      <c r="E20" s="512">
        <f t="shared" si="0"/>
        <v>0</v>
      </c>
      <c r="F20" s="227"/>
      <c r="G20" s="227"/>
      <c r="H20" s="227"/>
      <c r="I20" s="227"/>
    </row>
    <row r="21" spans="1:9">
      <c r="A21" s="884"/>
      <c r="B21" s="887"/>
      <c r="C21" s="161" t="s">
        <v>122</v>
      </c>
      <c r="D21" s="511" t="str">
        <f>IF(E21='Parametre - Agendové IS'!H13,"OK","Chyba počtu podaní")</f>
        <v>Chyba počtu podaní</v>
      </c>
      <c r="E21" s="512">
        <f t="shared" si="0"/>
        <v>0</v>
      </c>
      <c r="F21" s="227"/>
      <c r="G21" s="227"/>
      <c r="H21" s="227"/>
      <c r="I21" s="227"/>
    </row>
    <row r="22" spans="1:9">
      <c r="A22" s="884"/>
      <c r="B22" s="887"/>
      <c r="C22" s="161" t="s">
        <v>123</v>
      </c>
      <c r="D22" s="511" t="str">
        <f>IF(E22='Parametre - Agendové IS'!H14,"OK","Chyba počtu podaní")</f>
        <v>Chyba počtu podaní</v>
      </c>
      <c r="E22" s="512">
        <f t="shared" si="0"/>
        <v>0</v>
      </c>
      <c r="F22" s="227"/>
      <c r="G22" s="227"/>
      <c r="H22" s="227"/>
      <c r="I22" s="227"/>
    </row>
    <row r="23" spans="1:9" ht="16" thickBot="1">
      <c r="A23" s="885"/>
      <c r="B23" s="888"/>
      <c r="C23" s="162" t="s">
        <v>124</v>
      </c>
      <c r="D23" s="511" t="str">
        <f>IF(E23='Parametre - Agendové IS'!H15,"OK","Chyba počtu podaní")</f>
        <v>Chyba počtu podaní</v>
      </c>
      <c r="E23" s="512">
        <f t="shared" si="0"/>
        <v>0</v>
      </c>
      <c r="F23" s="227"/>
      <c r="G23" s="227"/>
      <c r="H23" s="227"/>
      <c r="I23" s="227"/>
    </row>
    <row r="24" spans="1:9">
      <c r="A24" s="883" t="s">
        <v>99</v>
      </c>
      <c r="B24" s="886" t="s">
        <v>190</v>
      </c>
      <c r="C24" s="164" t="s">
        <v>115</v>
      </c>
      <c r="D24" s="510" t="str">
        <f>IF(E24='Parametre - Agendové IS'!H127,"OK","Chyba")</f>
        <v>OK</v>
      </c>
      <c r="E24" s="515">
        <f t="shared" si="0"/>
        <v>0</v>
      </c>
      <c r="F24" s="226"/>
      <c r="G24" s="226"/>
      <c r="H24" s="226"/>
      <c r="I24" s="226"/>
    </row>
    <row r="25" spans="1:9">
      <c r="A25" s="884"/>
      <c r="B25" s="887"/>
      <c r="C25" s="161" t="s">
        <v>116</v>
      </c>
      <c r="D25" s="511" t="str">
        <f>IF(E25='Parametre - Agendové IS'!H128,"OK","Chyba")</f>
        <v>OK</v>
      </c>
      <c r="E25" s="512">
        <f t="shared" si="0"/>
        <v>0</v>
      </c>
      <c r="F25" s="227"/>
      <c r="G25" s="227"/>
      <c r="H25" s="227"/>
      <c r="I25" s="227"/>
    </row>
    <row r="26" spans="1:9">
      <c r="A26" s="884"/>
      <c r="B26" s="887"/>
      <c r="C26" s="161" t="s">
        <v>117</v>
      </c>
      <c r="D26" s="511" t="str">
        <f>IF(E26='Parametre - Agendové IS'!H129,"OK","Chyba")</f>
        <v>OK</v>
      </c>
      <c r="E26" s="512">
        <f t="shared" si="0"/>
        <v>0</v>
      </c>
      <c r="F26" s="227"/>
      <c r="G26" s="227"/>
      <c r="H26" s="227"/>
      <c r="I26" s="227"/>
    </row>
    <row r="27" spans="1:9">
      <c r="A27" s="884"/>
      <c r="B27" s="887"/>
      <c r="C27" s="161" t="s">
        <v>118</v>
      </c>
      <c r="D27" s="511" t="str">
        <f>IF(E27='Parametre - Agendové IS'!H130,"OK","Chyba")</f>
        <v>OK</v>
      </c>
      <c r="E27" s="512">
        <f t="shared" si="0"/>
        <v>0</v>
      </c>
      <c r="F27" s="227"/>
      <c r="G27" s="227"/>
      <c r="H27" s="227"/>
      <c r="I27" s="227"/>
    </row>
    <row r="28" spans="1:9">
      <c r="A28" s="884"/>
      <c r="B28" s="887"/>
      <c r="C28" s="161" t="s">
        <v>119</v>
      </c>
      <c r="D28" s="511" t="str">
        <f>IF(E28='Parametre - Agendové IS'!H131,"OK","Chyba")</f>
        <v>OK</v>
      </c>
      <c r="E28" s="512">
        <f t="shared" si="0"/>
        <v>0</v>
      </c>
      <c r="F28" s="227"/>
      <c r="G28" s="227"/>
      <c r="H28" s="227"/>
      <c r="I28" s="227"/>
    </row>
    <row r="29" spans="1:9">
      <c r="A29" s="884"/>
      <c r="B29" s="887"/>
      <c r="C29" s="161" t="s">
        <v>120</v>
      </c>
      <c r="D29" s="511" t="str">
        <f>IF(E29='Parametre - Agendové IS'!H132,"OK","Chyba")</f>
        <v>OK</v>
      </c>
      <c r="E29" s="512">
        <f t="shared" si="0"/>
        <v>0</v>
      </c>
      <c r="F29" s="227"/>
      <c r="G29" s="227"/>
      <c r="H29" s="227"/>
      <c r="I29" s="227"/>
    </row>
    <row r="30" spans="1:9">
      <c r="A30" s="884"/>
      <c r="B30" s="887"/>
      <c r="C30" s="161" t="s">
        <v>121</v>
      </c>
      <c r="D30" s="511" t="str">
        <f>IF(E30='Parametre - Agendové IS'!H133,"OK","Chyba")</f>
        <v>OK</v>
      </c>
      <c r="E30" s="512">
        <f t="shared" si="0"/>
        <v>0</v>
      </c>
      <c r="F30" s="227"/>
      <c r="G30" s="227"/>
      <c r="H30" s="227"/>
      <c r="I30" s="227"/>
    </row>
    <row r="31" spans="1:9">
      <c r="A31" s="884"/>
      <c r="B31" s="887"/>
      <c r="C31" s="161" t="s">
        <v>122</v>
      </c>
      <c r="D31" s="511" t="str">
        <f>IF(E31='Parametre - Agendové IS'!H134,"OK","Chyba")</f>
        <v>OK</v>
      </c>
      <c r="E31" s="512">
        <f t="shared" si="0"/>
        <v>0</v>
      </c>
      <c r="F31" s="227"/>
      <c r="G31" s="227"/>
      <c r="H31" s="227"/>
      <c r="I31" s="227"/>
    </row>
    <row r="32" spans="1:9">
      <c r="A32" s="884"/>
      <c r="B32" s="887"/>
      <c r="C32" s="161" t="s">
        <v>123</v>
      </c>
      <c r="D32" s="511" t="str">
        <f>IF(E32='Parametre - Agendové IS'!H135,"OK","Chyba")</f>
        <v>OK</v>
      </c>
      <c r="E32" s="512">
        <f t="shared" si="0"/>
        <v>0</v>
      </c>
      <c r="F32" s="227"/>
      <c r="G32" s="227"/>
      <c r="H32" s="227"/>
      <c r="I32" s="227"/>
    </row>
    <row r="33" spans="1:9" ht="16" thickBot="1">
      <c r="A33" s="885"/>
      <c r="B33" s="888"/>
      <c r="C33" s="162" t="s">
        <v>124</v>
      </c>
      <c r="D33" s="511" t="str">
        <f>IF(E33='Parametre - Agendové IS'!H136,"OK","Chyba")</f>
        <v>OK</v>
      </c>
      <c r="E33" s="512">
        <f t="shared" si="0"/>
        <v>0</v>
      </c>
      <c r="F33" s="227"/>
      <c r="G33" s="227"/>
      <c r="H33" s="227"/>
      <c r="I33" s="227"/>
    </row>
    <row r="34" spans="1:9">
      <c r="A34" s="160"/>
      <c r="B34" s="657"/>
    </row>
    <row r="35" spans="1:9">
      <c r="A35" s="160"/>
      <c r="B35" s="657"/>
    </row>
    <row r="36" spans="1:9" ht="16" thickBot="1">
      <c r="A36" s="160"/>
      <c r="B36" s="657"/>
    </row>
    <row r="37" spans="1:9">
      <c r="A37" s="889" t="str">
        <f>'Parametre - Agendové IS'!J1</f>
        <v>eSlužby ZŠ, SŠ</v>
      </c>
      <c r="B37" s="890"/>
      <c r="C37" s="891"/>
      <c r="D37" s="895" t="s">
        <v>81</v>
      </c>
      <c r="E37" s="896"/>
      <c r="F37" s="314" t="s">
        <v>483</v>
      </c>
      <c r="G37" s="314" t="s">
        <v>484</v>
      </c>
      <c r="H37" s="314" t="s">
        <v>485</v>
      </c>
      <c r="I37" s="314" t="s">
        <v>486</v>
      </c>
    </row>
    <row r="38" spans="1:9" ht="16" thickBot="1">
      <c r="A38" s="892"/>
      <c r="B38" s="893"/>
      <c r="C38" s="894"/>
      <c r="D38" s="507" t="s">
        <v>487</v>
      </c>
      <c r="E38" s="508" t="s">
        <v>113</v>
      </c>
      <c r="F38" s="163" t="s">
        <v>113</v>
      </c>
      <c r="G38" s="163" t="s">
        <v>113</v>
      </c>
      <c r="H38" s="163" t="s">
        <v>113</v>
      </c>
      <c r="I38" s="163" t="s">
        <v>113</v>
      </c>
    </row>
    <row r="39" spans="1:9">
      <c r="A39" s="883" t="s">
        <v>488</v>
      </c>
      <c r="B39" s="886" t="s">
        <v>197</v>
      </c>
      <c r="C39" s="164" t="s">
        <v>115</v>
      </c>
      <c r="D39" s="509" t="str">
        <f>IF(E39='Parametre - Agendové IS'!K87,"OK","Chyba počtu FTE")</f>
        <v>Chyba počtu FTE</v>
      </c>
      <c r="E39" s="510">
        <f t="shared" ref="E39:E68" si="1">F39+G39+H39+I39</f>
        <v>0</v>
      </c>
      <c r="F39" s="226"/>
      <c r="G39" s="226"/>
      <c r="H39" s="226"/>
      <c r="I39" s="226"/>
    </row>
    <row r="40" spans="1:9">
      <c r="A40" s="884"/>
      <c r="B40" s="887"/>
      <c r="C40" s="161" t="s">
        <v>116</v>
      </c>
      <c r="D40" s="511" t="str">
        <f>IF(E40='Parametre - Agendové IS'!K88,"OK","Chyba počtu FTE")</f>
        <v>Chyba počtu FTE</v>
      </c>
      <c r="E40" s="512">
        <f t="shared" si="1"/>
        <v>0</v>
      </c>
      <c r="F40" s="227"/>
      <c r="G40" s="227"/>
      <c r="H40" s="227"/>
      <c r="I40" s="227"/>
    </row>
    <row r="41" spans="1:9">
      <c r="A41" s="884"/>
      <c r="B41" s="887"/>
      <c r="C41" s="161" t="s">
        <v>117</v>
      </c>
      <c r="D41" s="511" t="str">
        <f>IF(E41='Parametre - Agendové IS'!K89,"OK","Chyba počtu FTE")</f>
        <v>OK</v>
      </c>
      <c r="E41" s="512">
        <f t="shared" si="1"/>
        <v>0</v>
      </c>
      <c r="F41" s="227"/>
      <c r="G41" s="227"/>
      <c r="H41" s="227"/>
      <c r="I41" s="227"/>
    </row>
    <row r="42" spans="1:9">
      <c r="A42" s="884"/>
      <c r="B42" s="887"/>
      <c r="C42" s="161" t="s">
        <v>118</v>
      </c>
      <c r="D42" s="511" t="str">
        <f>IF(E42='Parametre - Agendové IS'!K90,"OK","Chyba počtu FTE")</f>
        <v>OK</v>
      </c>
      <c r="E42" s="512">
        <f t="shared" si="1"/>
        <v>0</v>
      </c>
      <c r="F42" s="227"/>
      <c r="G42" s="227"/>
      <c r="H42" s="227"/>
      <c r="I42" s="227"/>
    </row>
    <row r="43" spans="1:9">
      <c r="A43" s="884"/>
      <c r="B43" s="887"/>
      <c r="C43" s="161" t="s">
        <v>119</v>
      </c>
      <c r="D43" s="511" t="str">
        <f>IF(E43='Parametre - Agendové IS'!K91,"OK","Chyba počtu FTE")</f>
        <v>OK</v>
      </c>
      <c r="E43" s="512">
        <f t="shared" si="1"/>
        <v>0</v>
      </c>
      <c r="F43" s="227"/>
      <c r="G43" s="227"/>
      <c r="H43" s="227"/>
      <c r="I43" s="227"/>
    </row>
    <row r="44" spans="1:9" ht="15" customHeight="1">
      <c r="A44" s="884"/>
      <c r="B44" s="887"/>
      <c r="C44" s="161" t="s">
        <v>120</v>
      </c>
      <c r="D44" s="511" t="str">
        <f>IF(E44='Parametre - Agendové IS'!K92,"OK","Chyba počtu FTE")</f>
        <v>OK</v>
      </c>
      <c r="E44" s="512">
        <f t="shared" si="1"/>
        <v>0</v>
      </c>
      <c r="F44" s="227"/>
      <c r="G44" s="227"/>
      <c r="H44" s="227"/>
      <c r="I44" s="227"/>
    </row>
    <row r="45" spans="1:9">
      <c r="A45" s="884"/>
      <c r="B45" s="887"/>
      <c r="C45" s="161" t="s">
        <v>121</v>
      </c>
      <c r="D45" s="511" t="str">
        <f>IF(E45='Parametre - Agendové IS'!K93,"OK","Chyba počtu FTE")</f>
        <v>OK</v>
      </c>
      <c r="E45" s="512">
        <f t="shared" si="1"/>
        <v>0</v>
      </c>
      <c r="F45" s="227"/>
      <c r="G45" s="227"/>
      <c r="H45" s="227"/>
      <c r="I45" s="227"/>
    </row>
    <row r="46" spans="1:9">
      <c r="A46" s="884"/>
      <c r="B46" s="887"/>
      <c r="C46" s="161" t="s">
        <v>122</v>
      </c>
      <c r="D46" s="511" t="str">
        <f>IF(E46='Parametre - Agendové IS'!K94,"OK","Chyba počtu FTE")</f>
        <v>OK</v>
      </c>
      <c r="E46" s="512">
        <f t="shared" si="1"/>
        <v>0</v>
      </c>
      <c r="F46" s="227"/>
      <c r="G46" s="227"/>
      <c r="H46" s="227"/>
      <c r="I46" s="227"/>
    </row>
    <row r="47" spans="1:9">
      <c r="A47" s="884"/>
      <c r="B47" s="887"/>
      <c r="C47" s="161" t="s">
        <v>123</v>
      </c>
      <c r="D47" s="511" t="str">
        <f>IF(E47='Parametre - Agendové IS'!K95,"OK","Chyba počtu FTE")</f>
        <v>OK</v>
      </c>
      <c r="E47" s="512">
        <f t="shared" si="1"/>
        <v>0</v>
      </c>
      <c r="F47" s="227"/>
      <c r="G47" s="227"/>
      <c r="H47" s="227"/>
      <c r="I47" s="227"/>
    </row>
    <row r="48" spans="1:9" ht="16" thickBot="1">
      <c r="A48" s="884"/>
      <c r="B48" s="887"/>
      <c r="C48" s="161" t="s">
        <v>124</v>
      </c>
      <c r="D48" s="513" t="str">
        <f>IF(E48='Parametre - Agendové IS'!K96,"OK","Chyba počtu FTE")</f>
        <v>OK</v>
      </c>
      <c r="E48" s="514">
        <f t="shared" si="1"/>
        <v>0</v>
      </c>
      <c r="F48" s="228"/>
      <c r="G48" s="228"/>
      <c r="H48" s="228"/>
      <c r="I48" s="228"/>
    </row>
    <row r="49" spans="1:9">
      <c r="A49" s="883" t="s">
        <v>489</v>
      </c>
      <c r="B49" s="886" t="s">
        <v>188</v>
      </c>
      <c r="C49" s="164" t="s">
        <v>115</v>
      </c>
      <c r="D49" s="510" t="str">
        <f>IF(E49='Parametre - Agendové IS'!K6,"OK","Chyba počtu podaní")</f>
        <v>Chyba počtu podaní</v>
      </c>
      <c r="E49" s="515">
        <f t="shared" si="1"/>
        <v>0</v>
      </c>
      <c r="F49" s="226"/>
      <c r="G49" s="226"/>
      <c r="H49" s="226"/>
      <c r="I49" s="226"/>
    </row>
    <row r="50" spans="1:9">
      <c r="A50" s="884"/>
      <c r="B50" s="887"/>
      <c r="C50" s="161" t="s">
        <v>116</v>
      </c>
      <c r="D50" s="511" t="str">
        <f>IF(E50='Parametre - Agendové IS'!K7,"OK","Chyba počtu podaní")</f>
        <v>Chyba počtu podaní</v>
      </c>
      <c r="E50" s="512">
        <f t="shared" si="1"/>
        <v>0</v>
      </c>
      <c r="F50" s="227"/>
      <c r="G50" s="227"/>
      <c r="H50" s="227"/>
      <c r="I50" s="227"/>
    </row>
    <row r="51" spans="1:9">
      <c r="A51" s="884"/>
      <c r="B51" s="887"/>
      <c r="C51" s="161" t="s">
        <v>117</v>
      </c>
      <c r="D51" s="511" t="str">
        <f>IF(E51='Parametre - Agendové IS'!K8,"OK","Chyba počtu podaní")</f>
        <v>Chyba počtu podaní</v>
      </c>
      <c r="E51" s="512">
        <f t="shared" si="1"/>
        <v>0</v>
      </c>
      <c r="F51" s="227"/>
      <c r="G51" s="227"/>
      <c r="H51" s="227"/>
      <c r="I51" s="227"/>
    </row>
    <row r="52" spans="1:9">
      <c r="A52" s="884"/>
      <c r="B52" s="887"/>
      <c r="C52" s="161" t="s">
        <v>118</v>
      </c>
      <c r="D52" s="511" t="str">
        <f>IF(E52='Parametre - Agendové IS'!K9,"OK","Chyba počtu podaní")</f>
        <v>Chyba počtu podaní</v>
      </c>
      <c r="E52" s="512">
        <f t="shared" si="1"/>
        <v>0</v>
      </c>
      <c r="F52" s="227"/>
      <c r="G52" s="227"/>
      <c r="H52" s="227"/>
      <c r="I52" s="227"/>
    </row>
    <row r="53" spans="1:9">
      <c r="A53" s="884"/>
      <c r="B53" s="887"/>
      <c r="C53" s="161" t="s">
        <v>119</v>
      </c>
      <c r="D53" s="511" t="str">
        <f>IF(E53='Parametre - Agendové IS'!K10,"OK","Chyba počtu podaní")</f>
        <v>Chyba počtu podaní</v>
      </c>
      <c r="E53" s="512">
        <f t="shared" si="1"/>
        <v>0</v>
      </c>
      <c r="F53" s="227"/>
      <c r="G53" s="227"/>
      <c r="H53" s="227"/>
      <c r="I53" s="227"/>
    </row>
    <row r="54" spans="1:9">
      <c r="A54" s="884"/>
      <c r="B54" s="887"/>
      <c r="C54" s="161" t="s">
        <v>120</v>
      </c>
      <c r="D54" s="511" t="str">
        <f>IF(E54='Parametre - Agendové IS'!K11,"OK","Chyba počtu podaní")</f>
        <v>Chyba počtu podaní</v>
      </c>
      <c r="E54" s="512">
        <f t="shared" si="1"/>
        <v>0</v>
      </c>
      <c r="F54" s="227"/>
      <c r="G54" s="227"/>
      <c r="H54" s="227"/>
      <c r="I54" s="227"/>
    </row>
    <row r="55" spans="1:9">
      <c r="A55" s="884"/>
      <c r="B55" s="887"/>
      <c r="C55" s="161" t="s">
        <v>121</v>
      </c>
      <c r="D55" s="511" t="str">
        <f>IF(E55='Parametre - Agendové IS'!K12,"OK","Chyba počtu podaní")</f>
        <v>Chyba počtu podaní</v>
      </c>
      <c r="E55" s="512">
        <f t="shared" si="1"/>
        <v>0</v>
      </c>
      <c r="F55" s="227"/>
      <c r="G55" s="227"/>
      <c r="H55" s="227"/>
      <c r="I55" s="227"/>
    </row>
    <row r="56" spans="1:9">
      <c r="A56" s="884"/>
      <c r="B56" s="887"/>
      <c r="C56" s="161" t="s">
        <v>122</v>
      </c>
      <c r="D56" s="511" t="str">
        <f>IF(E56='Parametre - Agendové IS'!K13,"OK","Chyba počtu podaní")</f>
        <v>Chyba počtu podaní</v>
      </c>
      <c r="E56" s="512">
        <f t="shared" si="1"/>
        <v>0</v>
      </c>
      <c r="F56" s="227"/>
      <c r="G56" s="227"/>
      <c r="H56" s="227"/>
      <c r="I56" s="227"/>
    </row>
    <row r="57" spans="1:9">
      <c r="A57" s="884"/>
      <c r="B57" s="887"/>
      <c r="C57" s="161" t="s">
        <v>123</v>
      </c>
      <c r="D57" s="511" t="str">
        <f>IF(E57='Parametre - Agendové IS'!K14,"OK","Chyba počtu podaní")</f>
        <v>Chyba počtu podaní</v>
      </c>
      <c r="E57" s="512">
        <f t="shared" si="1"/>
        <v>0</v>
      </c>
      <c r="F57" s="227"/>
      <c r="G57" s="227"/>
      <c r="H57" s="227"/>
      <c r="I57" s="227"/>
    </row>
    <row r="58" spans="1:9" ht="16" thickBot="1">
      <c r="A58" s="885"/>
      <c r="B58" s="888"/>
      <c r="C58" s="162" t="s">
        <v>124</v>
      </c>
      <c r="D58" s="511" t="str">
        <f>IF(E58='Parametre - Agendové IS'!K15,"OK","Chyba počtu podaní")</f>
        <v>Chyba počtu podaní</v>
      </c>
      <c r="E58" s="512">
        <f t="shared" si="1"/>
        <v>0</v>
      </c>
      <c r="F58" s="227"/>
      <c r="G58" s="227"/>
      <c r="H58" s="227"/>
      <c r="I58" s="227"/>
    </row>
    <row r="59" spans="1:9">
      <c r="A59" s="883" t="s">
        <v>99</v>
      </c>
      <c r="B59" s="886" t="s">
        <v>190</v>
      </c>
      <c r="C59" s="164" t="s">
        <v>115</v>
      </c>
      <c r="D59" s="510" t="str">
        <f>IF(E59='Parametre - Agendové IS'!K127,"OK","Chyba")</f>
        <v>OK</v>
      </c>
      <c r="E59" s="515">
        <f t="shared" si="1"/>
        <v>0</v>
      </c>
      <c r="F59" s="226"/>
      <c r="G59" s="226"/>
      <c r="H59" s="226"/>
      <c r="I59" s="226"/>
    </row>
    <row r="60" spans="1:9">
      <c r="A60" s="884"/>
      <c r="B60" s="887"/>
      <c r="C60" s="161" t="s">
        <v>116</v>
      </c>
      <c r="D60" s="511" t="str">
        <f>IF(E60='Parametre - Agendové IS'!K128,"OK","Chyba")</f>
        <v>OK</v>
      </c>
      <c r="E60" s="512">
        <f t="shared" si="1"/>
        <v>0</v>
      </c>
      <c r="F60" s="227"/>
      <c r="G60" s="227"/>
      <c r="H60" s="227"/>
      <c r="I60" s="227"/>
    </row>
    <row r="61" spans="1:9">
      <c r="A61" s="884"/>
      <c r="B61" s="887"/>
      <c r="C61" s="161" t="s">
        <v>117</v>
      </c>
      <c r="D61" s="511" t="str">
        <f>IF(E61='Parametre - Agendové IS'!K129,"OK","Chyba")</f>
        <v>OK</v>
      </c>
      <c r="E61" s="512">
        <f t="shared" si="1"/>
        <v>0</v>
      </c>
      <c r="F61" s="227"/>
      <c r="G61" s="227"/>
      <c r="H61" s="227"/>
      <c r="I61" s="227"/>
    </row>
    <row r="62" spans="1:9">
      <c r="A62" s="884"/>
      <c r="B62" s="887"/>
      <c r="C62" s="161" t="s">
        <v>118</v>
      </c>
      <c r="D62" s="511" t="str">
        <f>IF(E62='Parametre - Agendové IS'!K130,"OK","Chyba")</f>
        <v>OK</v>
      </c>
      <c r="E62" s="512">
        <f t="shared" si="1"/>
        <v>0</v>
      </c>
      <c r="F62" s="227"/>
      <c r="G62" s="227"/>
      <c r="H62" s="227"/>
      <c r="I62" s="227"/>
    </row>
    <row r="63" spans="1:9">
      <c r="A63" s="884"/>
      <c r="B63" s="887"/>
      <c r="C63" s="161" t="s">
        <v>119</v>
      </c>
      <c r="D63" s="511" t="str">
        <f>IF(E63='Parametre - Agendové IS'!K131,"OK","Chyba")</f>
        <v>OK</v>
      </c>
      <c r="E63" s="512">
        <f t="shared" si="1"/>
        <v>0</v>
      </c>
      <c r="F63" s="227"/>
      <c r="G63" s="227"/>
      <c r="H63" s="227"/>
      <c r="I63" s="227"/>
    </row>
    <row r="64" spans="1:9">
      <c r="A64" s="884"/>
      <c r="B64" s="887"/>
      <c r="C64" s="161" t="s">
        <v>120</v>
      </c>
      <c r="D64" s="511" t="str">
        <f>IF(E64='Parametre - Agendové IS'!K132,"OK","Chyba")</f>
        <v>OK</v>
      </c>
      <c r="E64" s="512">
        <f t="shared" si="1"/>
        <v>0</v>
      </c>
      <c r="F64" s="227"/>
      <c r="G64" s="227"/>
      <c r="H64" s="227"/>
      <c r="I64" s="227"/>
    </row>
    <row r="65" spans="1:9">
      <c r="A65" s="884"/>
      <c r="B65" s="887"/>
      <c r="C65" s="161" t="s">
        <v>121</v>
      </c>
      <c r="D65" s="511" t="str">
        <f>IF(E65='Parametre - Agendové IS'!K133,"OK","Chyba")</f>
        <v>OK</v>
      </c>
      <c r="E65" s="512">
        <f t="shared" si="1"/>
        <v>0</v>
      </c>
      <c r="F65" s="227"/>
      <c r="G65" s="227"/>
      <c r="H65" s="227"/>
      <c r="I65" s="227"/>
    </row>
    <row r="66" spans="1:9">
      <c r="A66" s="884"/>
      <c r="B66" s="887"/>
      <c r="C66" s="161" t="s">
        <v>122</v>
      </c>
      <c r="D66" s="511" t="str">
        <f>IF(E66='Parametre - Agendové IS'!K134,"OK","Chyba")</f>
        <v>OK</v>
      </c>
      <c r="E66" s="512">
        <f t="shared" si="1"/>
        <v>0</v>
      </c>
      <c r="F66" s="227"/>
      <c r="G66" s="227"/>
      <c r="H66" s="227"/>
      <c r="I66" s="227"/>
    </row>
    <row r="67" spans="1:9">
      <c r="A67" s="884"/>
      <c r="B67" s="887"/>
      <c r="C67" s="161" t="s">
        <v>123</v>
      </c>
      <c r="D67" s="511" t="str">
        <f>IF(E67='Parametre - Agendové IS'!K135,"OK","Chyba")</f>
        <v>OK</v>
      </c>
      <c r="E67" s="512">
        <f t="shared" si="1"/>
        <v>0</v>
      </c>
      <c r="F67" s="227"/>
      <c r="G67" s="227"/>
      <c r="H67" s="227"/>
      <c r="I67" s="227"/>
    </row>
    <row r="68" spans="1:9" ht="16" thickBot="1">
      <c r="A68" s="885"/>
      <c r="B68" s="888"/>
      <c r="C68" s="162" t="s">
        <v>124</v>
      </c>
      <c r="D68" s="511" t="str">
        <f>IF(E68='Parametre - Agendové IS'!K136,"OK","Chyba")</f>
        <v>OK</v>
      </c>
      <c r="E68" s="512">
        <f t="shared" si="1"/>
        <v>0</v>
      </c>
      <c r="F68" s="227"/>
      <c r="G68" s="227"/>
      <c r="H68" s="227"/>
      <c r="I68" s="227"/>
    </row>
    <row r="71" spans="1:9" ht="16" thickBot="1"/>
    <row r="72" spans="1:9">
      <c r="A72" s="889" t="str">
        <f>'Parametre - Agendové IS'!M1</f>
        <v>eSlužby ZŠ, SŠ</v>
      </c>
      <c r="B72" s="890"/>
      <c r="C72" s="891"/>
      <c r="D72" s="895" t="s">
        <v>81</v>
      </c>
      <c r="E72" s="896"/>
      <c r="F72" s="314" t="s">
        <v>483</v>
      </c>
      <c r="G72" s="314" t="s">
        <v>484</v>
      </c>
      <c r="H72" s="314" t="s">
        <v>485</v>
      </c>
      <c r="I72" s="314" t="s">
        <v>486</v>
      </c>
    </row>
    <row r="73" spans="1:9" ht="16" thickBot="1">
      <c r="A73" s="892"/>
      <c r="B73" s="893"/>
      <c r="C73" s="894"/>
      <c r="D73" s="507" t="s">
        <v>487</v>
      </c>
      <c r="E73" s="508" t="s">
        <v>113</v>
      </c>
      <c r="F73" s="163" t="s">
        <v>113</v>
      </c>
      <c r="G73" s="163" t="s">
        <v>113</v>
      </c>
      <c r="H73" s="163" t="s">
        <v>113</v>
      </c>
      <c r="I73" s="163" t="s">
        <v>113</v>
      </c>
    </row>
    <row r="74" spans="1:9">
      <c r="A74" s="883" t="s">
        <v>488</v>
      </c>
      <c r="B74" s="886" t="s">
        <v>197</v>
      </c>
      <c r="C74" s="164" t="s">
        <v>115</v>
      </c>
      <c r="D74" s="509" t="str">
        <f>IF(E74='Parametre - Agendové IS'!N87,"OK","Chyba počtu FTE")</f>
        <v>Chyba počtu FTE</v>
      </c>
      <c r="E74" s="510">
        <f t="shared" ref="E74:E103" si="2">F74+G74+H74+I74</f>
        <v>0</v>
      </c>
      <c r="F74" s="226"/>
      <c r="G74" s="226"/>
      <c r="H74" s="226"/>
      <c r="I74" s="226"/>
    </row>
    <row r="75" spans="1:9">
      <c r="A75" s="884"/>
      <c r="B75" s="887"/>
      <c r="C75" s="161" t="s">
        <v>116</v>
      </c>
      <c r="D75" s="511" t="str">
        <f>IF(E75='Parametre - Agendové IS'!N88,"OK","Chyba počtu FTE")</f>
        <v>Chyba počtu FTE</v>
      </c>
      <c r="E75" s="512">
        <f t="shared" si="2"/>
        <v>0</v>
      </c>
      <c r="F75" s="227"/>
      <c r="G75" s="227"/>
      <c r="H75" s="227"/>
      <c r="I75" s="227"/>
    </row>
    <row r="76" spans="1:9">
      <c r="A76" s="884"/>
      <c r="B76" s="887"/>
      <c r="C76" s="161" t="s">
        <v>117</v>
      </c>
      <c r="D76" s="511" t="str">
        <f>IF(E76='Parametre - Agendové IS'!N89,"OK","Chyba počtu FTE")</f>
        <v>OK</v>
      </c>
      <c r="E76" s="512">
        <f t="shared" si="2"/>
        <v>0</v>
      </c>
      <c r="F76" s="227"/>
      <c r="G76" s="227"/>
      <c r="H76" s="227"/>
      <c r="I76" s="227"/>
    </row>
    <row r="77" spans="1:9">
      <c r="A77" s="884"/>
      <c r="B77" s="887"/>
      <c r="C77" s="161" t="s">
        <v>118</v>
      </c>
      <c r="D77" s="511" t="str">
        <f>IF(E77='Parametre - Agendové IS'!N90,"OK","Chyba počtu FTE")</f>
        <v>OK</v>
      </c>
      <c r="E77" s="512">
        <f t="shared" si="2"/>
        <v>0</v>
      </c>
      <c r="F77" s="227"/>
      <c r="G77" s="227"/>
      <c r="H77" s="227"/>
      <c r="I77" s="227"/>
    </row>
    <row r="78" spans="1:9">
      <c r="A78" s="884"/>
      <c r="B78" s="887"/>
      <c r="C78" s="161" t="s">
        <v>119</v>
      </c>
      <c r="D78" s="511" t="str">
        <f>IF(E78='Parametre - Agendové IS'!N91,"OK","Chyba počtu FTE")</f>
        <v>OK</v>
      </c>
      <c r="E78" s="512">
        <f t="shared" si="2"/>
        <v>0</v>
      </c>
      <c r="F78" s="227"/>
      <c r="G78" s="227"/>
      <c r="H78" s="227"/>
      <c r="I78" s="227"/>
    </row>
    <row r="79" spans="1:9">
      <c r="A79" s="884"/>
      <c r="B79" s="887"/>
      <c r="C79" s="161" t="s">
        <v>120</v>
      </c>
      <c r="D79" s="511" t="str">
        <f>IF(E79='Parametre - Agendové IS'!N92,"OK","Chyba počtu FTE")</f>
        <v>OK</v>
      </c>
      <c r="E79" s="512">
        <f t="shared" si="2"/>
        <v>0</v>
      </c>
      <c r="F79" s="227"/>
      <c r="G79" s="227"/>
      <c r="H79" s="227"/>
      <c r="I79" s="227"/>
    </row>
    <row r="80" spans="1:9">
      <c r="A80" s="884"/>
      <c r="B80" s="887"/>
      <c r="C80" s="161" t="s">
        <v>121</v>
      </c>
      <c r="D80" s="511" t="str">
        <f>IF(E80='Parametre - Agendové IS'!N93,"OK","Chyba počtu FTE")</f>
        <v>OK</v>
      </c>
      <c r="E80" s="512">
        <f t="shared" si="2"/>
        <v>0</v>
      </c>
      <c r="F80" s="227"/>
      <c r="G80" s="227"/>
      <c r="H80" s="227"/>
      <c r="I80" s="227"/>
    </row>
    <row r="81" spans="1:9">
      <c r="A81" s="884"/>
      <c r="B81" s="887"/>
      <c r="C81" s="161" t="s">
        <v>122</v>
      </c>
      <c r="D81" s="511" t="str">
        <f>IF(E81='Parametre - Agendové IS'!N94,"OK","Chyba počtu FTE")</f>
        <v>OK</v>
      </c>
      <c r="E81" s="512">
        <f t="shared" si="2"/>
        <v>0</v>
      </c>
      <c r="F81" s="227"/>
      <c r="G81" s="227"/>
      <c r="H81" s="227"/>
      <c r="I81" s="227"/>
    </row>
    <row r="82" spans="1:9">
      <c r="A82" s="884"/>
      <c r="B82" s="887"/>
      <c r="C82" s="161" t="s">
        <v>123</v>
      </c>
      <c r="D82" s="511" t="str">
        <f>IF(E82='Parametre - Agendové IS'!N95,"OK","Chyba počtu FTE")</f>
        <v>OK</v>
      </c>
      <c r="E82" s="512">
        <f t="shared" si="2"/>
        <v>0</v>
      </c>
      <c r="F82" s="227"/>
      <c r="G82" s="227"/>
      <c r="H82" s="227"/>
      <c r="I82" s="227"/>
    </row>
    <row r="83" spans="1:9" ht="16" thickBot="1">
      <c r="A83" s="884"/>
      <c r="B83" s="887"/>
      <c r="C83" s="161" t="s">
        <v>124</v>
      </c>
      <c r="D83" s="513" t="str">
        <f>IF(E83='Parametre - Agendové IS'!N96,"OK","Chyba počtu FTE")</f>
        <v>OK</v>
      </c>
      <c r="E83" s="514">
        <f t="shared" si="2"/>
        <v>0</v>
      </c>
      <c r="F83" s="228"/>
      <c r="G83" s="228"/>
      <c r="H83" s="228"/>
      <c r="I83" s="228"/>
    </row>
    <row r="84" spans="1:9">
      <c r="A84" s="883" t="s">
        <v>489</v>
      </c>
      <c r="B84" s="886" t="s">
        <v>188</v>
      </c>
      <c r="C84" s="164" t="s">
        <v>115</v>
      </c>
      <c r="D84" s="510" t="str">
        <f>IF(E84='Parametre - Agendové IS'!N6,"OK","Chyba počtu podaní")</f>
        <v>Chyba počtu podaní</v>
      </c>
      <c r="E84" s="515">
        <f t="shared" si="2"/>
        <v>0</v>
      </c>
      <c r="F84" s="226"/>
      <c r="G84" s="226"/>
      <c r="H84" s="226"/>
      <c r="I84" s="226"/>
    </row>
    <row r="85" spans="1:9">
      <c r="A85" s="884"/>
      <c r="B85" s="887"/>
      <c r="C85" s="161" t="s">
        <v>116</v>
      </c>
      <c r="D85" s="511" t="str">
        <f>IF(E85='Parametre - Agendové IS'!N7,"OK","Chyba počtu podaní")</f>
        <v>Chyba počtu podaní</v>
      </c>
      <c r="E85" s="512">
        <f t="shared" si="2"/>
        <v>0</v>
      </c>
      <c r="F85" s="227"/>
      <c r="G85" s="227"/>
      <c r="H85" s="227"/>
      <c r="I85" s="227"/>
    </row>
    <row r="86" spans="1:9">
      <c r="A86" s="884"/>
      <c r="B86" s="887"/>
      <c r="C86" s="161" t="s">
        <v>117</v>
      </c>
      <c r="D86" s="511" t="str">
        <f>IF(E86='Parametre - Agendové IS'!N8,"OK","Chyba počtu podaní")</f>
        <v>Chyba počtu podaní</v>
      </c>
      <c r="E86" s="512">
        <f t="shared" si="2"/>
        <v>0</v>
      </c>
      <c r="F86" s="227"/>
      <c r="G86" s="227"/>
      <c r="H86" s="227"/>
      <c r="I86" s="227"/>
    </row>
    <row r="87" spans="1:9">
      <c r="A87" s="884"/>
      <c r="B87" s="887"/>
      <c r="C87" s="161" t="s">
        <v>118</v>
      </c>
      <c r="D87" s="511" t="str">
        <f>IF(E87='Parametre - Agendové IS'!N9,"OK","Chyba počtu podaní")</f>
        <v>Chyba počtu podaní</v>
      </c>
      <c r="E87" s="512">
        <f t="shared" si="2"/>
        <v>0</v>
      </c>
      <c r="F87" s="227"/>
      <c r="G87" s="227"/>
      <c r="H87" s="227"/>
      <c r="I87" s="227"/>
    </row>
    <row r="88" spans="1:9">
      <c r="A88" s="884"/>
      <c r="B88" s="887"/>
      <c r="C88" s="161" t="s">
        <v>119</v>
      </c>
      <c r="D88" s="511" t="str">
        <f>IF(E88='Parametre - Agendové IS'!N10,"OK","Chyba počtu podaní")</f>
        <v>Chyba počtu podaní</v>
      </c>
      <c r="E88" s="512">
        <f t="shared" si="2"/>
        <v>0</v>
      </c>
      <c r="F88" s="227"/>
      <c r="G88" s="227"/>
      <c r="H88" s="227"/>
      <c r="I88" s="227"/>
    </row>
    <row r="89" spans="1:9">
      <c r="A89" s="884"/>
      <c r="B89" s="887"/>
      <c r="C89" s="161" t="s">
        <v>120</v>
      </c>
      <c r="D89" s="511" t="str">
        <f>IF(E89='Parametre - Agendové IS'!N11,"OK","Chyba počtu podaní")</f>
        <v>Chyba počtu podaní</v>
      </c>
      <c r="E89" s="512">
        <f t="shared" si="2"/>
        <v>0</v>
      </c>
      <c r="F89" s="227"/>
      <c r="G89" s="227"/>
      <c r="H89" s="227"/>
      <c r="I89" s="227"/>
    </row>
    <row r="90" spans="1:9">
      <c r="A90" s="884"/>
      <c r="B90" s="887"/>
      <c r="C90" s="161" t="s">
        <v>121</v>
      </c>
      <c r="D90" s="511" t="str">
        <f>IF(E90='Parametre - Agendové IS'!N12,"OK","Chyba počtu podaní")</f>
        <v>Chyba počtu podaní</v>
      </c>
      <c r="E90" s="512">
        <f t="shared" si="2"/>
        <v>0</v>
      </c>
      <c r="F90" s="227"/>
      <c r="G90" s="227"/>
      <c r="H90" s="227"/>
      <c r="I90" s="227"/>
    </row>
    <row r="91" spans="1:9">
      <c r="A91" s="884"/>
      <c r="B91" s="887"/>
      <c r="C91" s="161" t="s">
        <v>122</v>
      </c>
      <c r="D91" s="511" t="str">
        <f>IF(E91='Parametre - Agendové IS'!N13,"OK","Chyba počtu podaní")</f>
        <v>Chyba počtu podaní</v>
      </c>
      <c r="E91" s="512">
        <f t="shared" si="2"/>
        <v>0</v>
      </c>
      <c r="F91" s="227"/>
      <c r="G91" s="227"/>
      <c r="H91" s="227"/>
      <c r="I91" s="227"/>
    </row>
    <row r="92" spans="1:9">
      <c r="A92" s="884"/>
      <c r="B92" s="887"/>
      <c r="C92" s="161" t="s">
        <v>123</v>
      </c>
      <c r="D92" s="511" t="str">
        <f>IF(E92='Parametre - Agendové IS'!N14,"OK","Chyba počtu podaní")</f>
        <v>Chyba počtu podaní</v>
      </c>
      <c r="E92" s="512">
        <f t="shared" si="2"/>
        <v>0</v>
      </c>
      <c r="F92" s="227"/>
      <c r="G92" s="227"/>
      <c r="H92" s="227"/>
      <c r="I92" s="227"/>
    </row>
    <row r="93" spans="1:9" ht="16" thickBot="1">
      <c r="A93" s="885"/>
      <c r="B93" s="888"/>
      <c r="C93" s="162" t="s">
        <v>124</v>
      </c>
      <c r="D93" s="511" t="str">
        <f>IF(E93='Parametre - Agendové IS'!N15,"OK","Chyba počtu podaní")</f>
        <v>Chyba počtu podaní</v>
      </c>
      <c r="E93" s="512">
        <f t="shared" si="2"/>
        <v>0</v>
      </c>
      <c r="F93" s="227"/>
      <c r="G93" s="227"/>
      <c r="H93" s="227"/>
      <c r="I93" s="227"/>
    </row>
    <row r="94" spans="1:9">
      <c r="A94" s="883" t="s">
        <v>99</v>
      </c>
      <c r="B94" s="886" t="s">
        <v>190</v>
      </c>
      <c r="C94" s="164" t="s">
        <v>115</v>
      </c>
      <c r="D94" s="510" t="str">
        <f>IF(E94='Parametre - Agendové IS'!N127,"OK","Chyba")</f>
        <v>OK</v>
      </c>
      <c r="E94" s="515">
        <f t="shared" si="2"/>
        <v>0</v>
      </c>
      <c r="F94" s="226"/>
      <c r="G94" s="226"/>
      <c r="H94" s="226"/>
      <c r="I94" s="226"/>
    </row>
    <row r="95" spans="1:9">
      <c r="A95" s="884"/>
      <c r="B95" s="887"/>
      <c r="C95" s="161" t="s">
        <v>116</v>
      </c>
      <c r="D95" s="511" t="str">
        <f>IF(E95='Parametre - Agendové IS'!N128,"OK","Chyba")</f>
        <v>OK</v>
      </c>
      <c r="E95" s="512">
        <f t="shared" si="2"/>
        <v>0</v>
      </c>
      <c r="F95" s="227"/>
      <c r="G95" s="227"/>
      <c r="H95" s="227"/>
      <c r="I95" s="227"/>
    </row>
    <row r="96" spans="1:9">
      <c r="A96" s="884"/>
      <c r="B96" s="887"/>
      <c r="C96" s="161" t="s">
        <v>117</v>
      </c>
      <c r="D96" s="511" t="str">
        <f>IF(E96='Parametre - Agendové IS'!N129,"OK","Chyba")</f>
        <v>OK</v>
      </c>
      <c r="E96" s="512">
        <f t="shared" si="2"/>
        <v>0</v>
      </c>
      <c r="F96" s="227"/>
      <c r="G96" s="227"/>
      <c r="H96" s="227"/>
      <c r="I96" s="227"/>
    </row>
    <row r="97" spans="1:9">
      <c r="A97" s="884"/>
      <c r="B97" s="887"/>
      <c r="C97" s="161" t="s">
        <v>118</v>
      </c>
      <c r="D97" s="511" t="str">
        <f>IF(E97='Parametre - Agendové IS'!N130,"OK","Chyba")</f>
        <v>OK</v>
      </c>
      <c r="E97" s="512">
        <f t="shared" si="2"/>
        <v>0</v>
      </c>
      <c r="F97" s="227"/>
      <c r="G97" s="227"/>
      <c r="H97" s="227"/>
      <c r="I97" s="227"/>
    </row>
    <row r="98" spans="1:9">
      <c r="A98" s="884"/>
      <c r="B98" s="887"/>
      <c r="C98" s="161" t="s">
        <v>119</v>
      </c>
      <c r="D98" s="511" t="str">
        <f>IF(E98='Parametre - Agendové IS'!N131,"OK","Chyba")</f>
        <v>OK</v>
      </c>
      <c r="E98" s="512">
        <f t="shared" si="2"/>
        <v>0</v>
      </c>
      <c r="F98" s="227"/>
      <c r="G98" s="227"/>
      <c r="H98" s="227"/>
      <c r="I98" s="227"/>
    </row>
    <row r="99" spans="1:9">
      <c r="A99" s="884"/>
      <c r="B99" s="887"/>
      <c r="C99" s="161" t="s">
        <v>120</v>
      </c>
      <c r="D99" s="511" t="str">
        <f>IF(E99='Parametre - Agendové IS'!N132,"OK","Chyba")</f>
        <v>OK</v>
      </c>
      <c r="E99" s="512">
        <f t="shared" si="2"/>
        <v>0</v>
      </c>
      <c r="F99" s="227"/>
      <c r="G99" s="227"/>
      <c r="H99" s="227"/>
      <c r="I99" s="227"/>
    </row>
    <row r="100" spans="1:9">
      <c r="A100" s="884"/>
      <c r="B100" s="887"/>
      <c r="C100" s="161" t="s">
        <v>121</v>
      </c>
      <c r="D100" s="511" t="str">
        <f>IF(E100='Parametre - Agendové IS'!N133,"OK","Chyba")</f>
        <v>OK</v>
      </c>
      <c r="E100" s="512">
        <f t="shared" si="2"/>
        <v>0</v>
      </c>
      <c r="F100" s="227"/>
      <c r="G100" s="227"/>
      <c r="H100" s="227"/>
      <c r="I100" s="227"/>
    </row>
    <row r="101" spans="1:9">
      <c r="A101" s="884"/>
      <c r="B101" s="887"/>
      <c r="C101" s="161" t="s">
        <v>122</v>
      </c>
      <c r="D101" s="511" t="str">
        <f>IF(E101='Parametre - Agendové IS'!N134,"OK","Chyba")</f>
        <v>OK</v>
      </c>
      <c r="E101" s="512">
        <f t="shared" si="2"/>
        <v>0</v>
      </c>
      <c r="F101" s="227"/>
      <c r="G101" s="227"/>
      <c r="H101" s="227"/>
      <c r="I101" s="227"/>
    </row>
    <row r="102" spans="1:9">
      <c r="A102" s="884"/>
      <c r="B102" s="887"/>
      <c r="C102" s="161" t="s">
        <v>123</v>
      </c>
      <c r="D102" s="511" t="str">
        <f>IF(E102='Parametre - Agendové IS'!N135,"OK","Chyba")</f>
        <v>OK</v>
      </c>
      <c r="E102" s="512">
        <f t="shared" si="2"/>
        <v>0</v>
      </c>
      <c r="F102" s="227"/>
      <c r="G102" s="227"/>
      <c r="H102" s="227"/>
      <c r="I102" s="227"/>
    </row>
    <row r="103" spans="1:9" ht="16" thickBot="1">
      <c r="A103" s="885"/>
      <c r="B103" s="888"/>
      <c r="C103" s="162" t="s">
        <v>124</v>
      </c>
      <c r="D103" s="511" t="str">
        <f>IF(E103='Parametre - Agendové IS'!N136,"OK","Chyba")</f>
        <v>OK</v>
      </c>
      <c r="E103" s="512">
        <f t="shared" si="2"/>
        <v>0</v>
      </c>
      <c r="F103" s="227"/>
      <c r="G103" s="227"/>
      <c r="H103" s="227"/>
      <c r="I103" s="227"/>
    </row>
    <row r="106" spans="1:9" ht="16" thickBot="1"/>
    <row r="107" spans="1:9">
      <c r="A107" s="889" t="str">
        <f>'Parametre - Agendové IS'!AW1</f>
        <v>Pôžičky FNP</v>
      </c>
      <c r="B107" s="890"/>
      <c r="C107" s="891"/>
      <c r="D107" s="895" t="s">
        <v>81</v>
      </c>
      <c r="E107" s="896"/>
      <c r="F107" s="314" t="s">
        <v>483</v>
      </c>
      <c r="G107" s="314" t="s">
        <v>484</v>
      </c>
      <c r="H107" s="314" t="s">
        <v>485</v>
      </c>
      <c r="I107" s="314" t="s">
        <v>486</v>
      </c>
    </row>
    <row r="108" spans="1:9" ht="16" thickBot="1">
      <c r="A108" s="892"/>
      <c r="B108" s="893"/>
      <c r="C108" s="894"/>
      <c r="D108" s="507" t="s">
        <v>487</v>
      </c>
      <c r="E108" s="508" t="s">
        <v>113</v>
      </c>
      <c r="F108" s="163" t="s">
        <v>113</v>
      </c>
      <c r="G108" s="163" t="s">
        <v>113</v>
      </c>
      <c r="H108" s="163" t="s">
        <v>113</v>
      </c>
      <c r="I108" s="163" t="s">
        <v>113</v>
      </c>
    </row>
    <row r="109" spans="1:9">
      <c r="A109" s="883" t="s">
        <v>488</v>
      </c>
      <c r="B109" s="886" t="s">
        <v>197</v>
      </c>
      <c r="C109" s="164" t="s">
        <v>115</v>
      </c>
      <c r="D109" s="509" t="str">
        <f>IF(E109='Parametre - Agendové IS'!AX87,"OK","Chyba počtu FTE")</f>
        <v>Chyba počtu FTE</v>
      </c>
      <c r="E109" s="510">
        <f t="shared" ref="E109:E138" si="3">F109+G109+H109+I109</f>
        <v>0</v>
      </c>
      <c r="F109" s="226"/>
      <c r="G109" s="226"/>
      <c r="H109" s="226"/>
      <c r="I109" s="226"/>
    </row>
    <row r="110" spans="1:9">
      <c r="A110" s="884"/>
      <c r="B110" s="887"/>
      <c r="C110" s="161" t="s">
        <v>116</v>
      </c>
      <c r="D110" s="511" t="str">
        <f>IF(E110='Parametre - Agendové IS'!AX88,"OK","Chyba počtu FTE")</f>
        <v>Chyba počtu FTE</v>
      </c>
      <c r="E110" s="512">
        <f t="shared" si="3"/>
        <v>0</v>
      </c>
      <c r="F110" s="227"/>
      <c r="G110" s="227"/>
      <c r="H110" s="227"/>
      <c r="I110" s="227"/>
    </row>
    <row r="111" spans="1:9">
      <c r="A111" s="884"/>
      <c r="B111" s="887"/>
      <c r="C111" s="161" t="s">
        <v>117</v>
      </c>
      <c r="D111" s="511" t="str">
        <f>IF(E111='Parametre - Agendové IS'!AX89,"OK","Chyba počtu FTE")</f>
        <v>OK</v>
      </c>
      <c r="E111" s="512">
        <f t="shared" si="3"/>
        <v>0</v>
      </c>
      <c r="F111" s="227"/>
      <c r="G111" s="227"/>
      <c r="H111" s="227"/>
      <c r="I111" s="227"/>
    </row>
    <row r="112" spans="1:9">
      <c r="A112" s="884"/>
      <c r="B112" s="887"/>
      <c r="C112" s="161" t="s">
        <v>118</v>
      </c>
      <c r="D112" s="511" t="str">
        <f>IF(E112='Parametre - Agendové IS'!AX90,"OK","Chyba počtu FTE")</f>
        <v>OK</v>
      </c>
      <c r="E112" s="512">
        <f t="shared" si="3"/>
        <v>0</v>
      </c>
      <c r="F112" s="227"/>
      <c r="G112" s="227"/>
      <c r="H112" s="227"/>
      <c r="I112" s="227"/>
    </row>
    <row r="113" spans="1:9">
      <c r="A113" s="884"/>
      <c r="B113" s="887"/>
      <c r="C113" s="161" t="s">
        <v>119</v>
      </c>
      <c r="D113" s="511" t="str">
        <f>IF(E113='Parametre - Agendové IS'!AX91,"OK","Chyba počtu FTE")</f>
        <v>OK</v>
      </c>
      <c r="E113" s="512">
        <f t="shared" si="3"/>
        <v>0</v>
      </c>
      <c r="F113" s="227"/>
      <c r="G113" s="227"/>
      <c r="H113" s="227"/>
      <c r="I113" s="227"/>
    </row>
    <row r="114" spans="1:9">
      <c r="A114" s="884"/>
      <c r="B114" s="887"/>
      <c r="C114" s="161" t="s">
        <v>120</v>
      </c>
      <c r="D114" s="511" t="str">
        <f>IF(E114='Parametre - Agendové IS'!AX92,"OK","Chyba počtu FTE")</f>
        <v>OK</v>
      </c>
      <c r="E114" s="512">
        <f t="shared" si="3"/>
        <v>0</v>
      </c>
      <c r="F114" s="227"/>
      <c r="G114" s="227"/>
      <c r="H114" s="227"/>
      <c r="I114" s="227"/>
    </row>
    <row r="115" spans="1:9">
      <c r="A115" s="884"/>
      <c r="B115" s="887"/>
      <c r="C115" s="161" t="s">
        <v>121</v>
      </c>
      <c r="D115" s="511" t="str">
        <f>IF(E115='Parametre - Agendové IS'!AX93,"OK","Chyba počtu FTE")</f>
        <v>OK</v>
      </c>
      <c r="E115" s="512">
        <f t="shared" si="3"/>
        <v>0</v>
      </c>
      <c r="F115" s="227"/>
      <c r="G115" s="227"/>
      <c r="H115" s="227"/>
      <c r="I115" s="227"/>
    </row>
    <row r="116" spans="1:9">
      <c r="A116" s="884"/>
      <c r="B116" s="887"/>
      <c r="C116" s="161" t="s">
        <v>122</v>
      </c>
      <c r="D116" s="511" t="str">
        <f>IF(E116='Parametre - Agendové IS'!AX94,"OK","Chyba počtu FTE")</f>
        <v>OK</v>
      </c>
      <c r="E116" s="512">
        <f t="shared" si="3"/>
        <v>0</v>
      </c>
      <c r="F116" s="227"/>
      <c r="G116" s="227"/>
      <c r="H116" s="227"/>
      <c r="I116" s="227"/>
    </row>
    <row r="117" spans="1:9">
      <c r="A117" s="884"/>
      <c r="B117" s="887"/>
      <c r="C117" s="161" t="s">
        <v>123</v>
      </c>
      <c r="D117" s="511" t="str">
        <f>IF(E117='Parametre - Agendové IS'!AX95,"OK","Chyba počtu FTE")</f>
        <v>OK</v>
      </c>
      <c r="E117" s="512">
        <f t="shared" si="3"/>
        <v>0</v>
      </c>
      <c r="F117" s="227"/>
      <c r="G117" s="227"/>
      <c r="H117" s="227"/>
      <c r="I117" s="227"/>
    </row>
    <row r="118" spans="1:9" ht="16" thickBot="1">
      <c r="A118" s="884"/>
      <c r="B118" s="887"/>
      <c r="C118" s="161" t="s">
        <v>124</v>
      </c>
      <c r="D118" s="513" t="str">
        <f>IF(E118='Parametre - Agendové IS'!AX96,"OK","Chyba počtu FTE")</f>
        <v>OK</v>
      </c>
      <c r="E118" s="514">
        <f t="shared" si="3"/>
        <v>0</v>
      </c>
      <c r="F118" s="228"/>
      <c r="G118" s="228"/>
      <c r="H118" s="228"/>
      <c r="I118" s="228"/>
    </row>
    <row r="119" spans="1:9">
      <c r="A119" s="883" t="s">
        <v>489</v>
      </c>
      <c r="B119" s="886" t="s">
        <v>188</v>
      </c>
      <c r="C119" s="164" t="s">
        <v>115</v>
      </c>
      <c r="D119" s="510" t="str">
        <f>IF(E119='Parametre - Agendové IS'!AX6,"OK","Chyba počtu podaní")</f>
        <v>Chyba počtu podaní</v>
      </c>
      <c r="E119" s="515">
        <f t="shared" si="3"/>
        <v>0</v>
      </c>
      <c r="F119" s="226"/>
      <c r="G119" s="226"/>
      <c r="H119" s="226"/>
      <c r="I119" s="226"/>
    </row>
    <row r="120" spans="1:9">
      <c r="A120" s="884"/>
      <c r="B120" s="887"/>
      <c r="C120" s="161" t="s">
        <v>116</v>
      </c>
      <c r="D120" s="511" t="str">
        <f>IF(E120='Parametre - Agendové IS'!AX7,"OK","Chyba počtu podaní")</f>
        <v>Chyba počtu podaní</v>
      </c>
      <c r="E120" s="512">
        <f t="shared" si="3"/>
        <v>0</v>
      </c>
      <c r="F120" s="227"/>
      <c r="G120" s="227"/>
      <c r="H120" s="227"/>
      <c r="I120" s="227"/>
    </row>
    <row r="121" spans="1:9">
      <c r="A121" s="884"/>
      <c r="B121" s="887"/>
      <c r="C121" s="161" t="s">
        <v>117</v>
      </c>
      <c r="D121" s="511" t="str">
        <f>IF(E121='Parametre - Agendové IS'!AX8,"OK","Chyba počtu podaní")</f>
        <v>Chyba počtu podaní</v>
      </c>
      <c r="E121" s="512">
        <f t="shared" si="3"/>
        <v>0</v>
      </c>
      <c r="F121" s="227"/>
      <c r="G121" s="227"/>
      <c r="H121" s="227"/>
      <c r="I121" s="227"/>
    </row>
    <row r="122" spans="1:9">
      <c r="A122" s="884"/>
      <c r="B122" s="887"/>
      <c r="C122" s="161" t="s">
        <v>118</v>
      </c>
      <c r="D122" s="511" t="str">
        <f>IF(E122='Parametre - Agendové IS'!AX9,"OK","Chyba počtu podaní")</f>
        <v>Chyba počtu podaní</v>
      </c>
      <c r="E122" s="512">
        <f t="shared" si="3"/>
        <v>0</v>
      </c>
      <c r="F122" s="227"/>
      <c r="G122" s="227"/>
      <c r="H122" s="227"/>
      <c r="I122" s="227"/>
    </row>
    <row r="123" spans="1:9">
      <c r="A123" s="884"/>
      <c r="B123" s="887"/>
      <c r="C123" s="161" t="s">
        <v>119</v>
      </c>
      <c r="D123" s="511" t="str">
        <f>IF(E123='Parametre - Agendové IS'!AX10,"OK","Chyba počtu podaní")</f>
        <v>Chyba počtu podaní</v>
      </c>
      <c r="E123" s="512">
        <f t="shared" si="3"/>
        <v>0</v>
      </c>
      <c r="F123" s="227"/>
      <c r="G123" s="227"/>
      <c r="H123" s="227"/>
      <c r="I123" s="227"/>
    </row>
    <row r="124" spans="1:9">
      <c r="A124" s="884"/>
      <c r="B124" s="887"/>
      <c r="C124" s="161" t="s">
        <v>120</v>
      </c>
      <c r="D124" s="511" t="str">
        <f>IF(E124='Parametre - Agendové IS'!AX11,"OK","Chyba počtu podaní")</f>
        <v>Chyba počtu podaní</v>
      </c>
      <c r="E124" s="512">
        <f t="shared" si="3"/>
        <v>0</v>
      </c>
      <c r="F124" s="227"/>
      <c r="G124" s="227"/>
      <c r="H124" s="227"/>
      <c r="I124" s="227"/>
    </row>
    <row r="125" spans="1:9">
      <c r="A125" s="884"/>
      <c r="B125" s="887"/>
      <c r="C125" s="161" t="s">
        <v>121</v>
      </c>
      <c r="D125" s="511" t="str">
        <f>IF(E125='Parametre - Agendové IS'!AX12,"OK","Chyba počtu podaní")</f>
        <v>Chyba počtu podaní</v>
      </c>
      <c r="E125" s="512">
        <f t="shared" si="3"/>
        <v>0</v>
      </c>
      <c r="F125" s="227"/>
      <c r="G125" s="227"/>
      <c r="H125" s="227"/>
      <c r="I125" s="227"/>
    </row>
    <row r="126" spans="1:9">
      <c r="A126" s="884"/>
      <c r="B126" s="887"/>
      <c r="C126" s="161" t="s">
        <v>122</v>
      </c>
      <c r="D126" s="511" t="str">
        <f>IF(E126='Parametre - Agendové IS'!AX13,"OK","Chyba počtu podaní")</f>
        <v>Chyba počtu podaní</v>
      </c>
      <c r="E126" s="512">
        <f t="shared" si="3"/>
        <v>0</v>
      </c>
      <c r="F126" s="227"/>
      <c r="G126" s="227"/>
      <c r="H126" s="227"/>
      <c r="I126" s="227"/>
    </row>
    <row r="127" spans="1:9">
      <c r="A127" s="884"/>
      <c r="B127" s="887"/>
      <c r="C127" s="161" t="s">
        <v>123</v>
      </c>
      <c r="D127" s="511" t="str">
        <f>IF(E127='Parametre - Agendové IS'!AX14,"OK","Chyba počtu podaní")</f>
        <v>Chyba počtu podaní</v>
      </c>
      <c r="E127" s="512">
        <f t="shared" si="3"/>
        <v>0</v>
      </c>
      <c r="F127" s="227"/>
      <c r="G127" s="227"/>
      <c r="H127" s="227"/>
      <c r="I127" s="227"/>
    </row>
    <row r="128" spans="1:9" ht="16" thickBot="1">
      <c r="A128" s="885"/>
      <c r="B128" s="888"/>
      <c r="C128" s="162" t="s">
        <v>124</v>
      </c>
      <c r="D128" s="511" t="str">
        <f>IF(E128='Parametre - Agendové IS'!AX15,"OK","Chyba počtu podaní")</f>
        <v>Chyba počtu podaní</v>
      </c>
      <c r="E128" s="512">
        <f t="shared" si="3"/>
        <v>0</v>
      </c>
      <c r="F128" s="227"/>
      <c r="G128" s="227"/>
      <c r="H128" s="227"/>
      <c r="I128" s="227"/>
    </row>
    <row r="129" spans="1:9">
      <c r="A129" s="883" t="s">
        <v>99</v>
      </c>
      <c r="B129" s="886" t="s">
        <v>190</v>
      </c>
      <c r="C129" s="164" t="s">
        <v>115</v>
      </c>
      <c r="D129" s="510" t="str">
        <f>IF(E129='Parametre - Agendové IS'!AX127,"OK","Chyba")</f>
        <v>OK</v>
      </c>
      <c r="E129" s="515">
        <f t="shared" si="3"/>
        <v>0</v>
      </c>
      <c r="F129" s="226"/>
      <c r="G129" s="226"/>
      <c r="H129" s="226"/>
      <c r="I129" s="226"/>
    </row>
    <row r="130" spans="1:9">
      <c r="A130" s="884"/>
      <c r="B130" s="887"/>
      <c r="C130" s="161" t="s">
        <v>116</v>
      </c>
      <c r="D130" s="511" t="str">
        <f>IF(E130='Parametre - Agendové IS'!AX128,"OK","Chyba")</f>
        <v>OK</v>
      </c>
      <c r="E130" s="512">
        <f t="shared" si="3"/>
        <v>0</v>
      </c>
      <c r="F130" s="227"/>
      <c r="G130" s="227"/>
      <c r="H130" s="227"/>
      <c r="I130" s="227"/>
    </row>
    <row r="131" spans="1:9">
      <c r="A131" s="884"/>
      <c r="B131" s="887"/>
      <c r="C131" s="161" t="s">
        <v>117</v>
      </c>
      <c r="D131" s="511" t="str">
        <f>IF(E131='Parametre - Agendové IS'!AX129,"OK","Chyba")</f>
        <v>OK</v>
      </c>
      <c r="E131" s="512">
        <f t="shared" si="3"/>
        <v>0</v>
      </c>
      <c r="F131" s="227"/>
      <c r="G131" s="227"/>
      <c r="H131" s="227"/>
      <c r="I131" s="227"/>
    </row>
    <row r="132" spans="1:9">
      <c r="A132" s="884"/>
      <c r="B132" s="887"/>
      <c r="C132" s="161" t="s">
        <v>118</v>
      </c>
      <c r="D132" s="511" t="str">
        <f>IF(E132='Parametre - Agendové IS'!AX130,"OK","Chyba")</f>
        <v>OK</v>
      </c>
      <c r="E132" s="512">
        <f t="shared" si="3"/>
        <v>0</v>
      </c>
      <c r="F132" s="227"/>
      <c r="G132" s="227"/>
      <c r="H132" s="227"/>
      <c r="I132" s="227"/>
    </row>
    <row r="133" spans="1:9">
      <c r="A133" s="884"/>
      <c r="B133" s="887"/>
      <c r="C133" s="161" t="s">
        <v>119</v>
      </c>
      <c r="D133" s="511" t="str">
        <f>IF(E133='Parametre - Agendové IS'!AX131,"OK","Chyba")</f>
        <v>OK</v>
      </c>
      <c r="E133" s="512">
        <f t="shared" si="3"/>
        <v>0</v>
      </c>
      <c r="F133" s="227"/>
      <c r="G133" s="227"/>
      <c r="H133" s="227"/>
      <c r="I133" s="227"/>
    </row>
    <row r="134" spans="1:9">
      <c r="A134" s="884"/>
      <c r="B134" s="887"/>
      <c r="C134" s="161" t="s">
        <v>120</v>
      </c>
      <c r="D134" s="511" t="str">
        <f>IF(E134='Parametre - Agendové IS'!AX132,"OK","Chyba")</f>
        <v>OK</v>
      </c>
      <c r="E134" s="512">
        <f t="shared" si="3"/>
        <v>0</v>
      </c>
      <c r="F134" s="227"/>
      <c r="G134" s="227"/>
      <c r="H134" s="227"/>
      <c r="I134" s="227"/>
    </row>
    <row r="135" spans="1:9">
      <c r="A135" s="884"/>
      <c r="B135" s="887"/>
      <c r="C135" s="161" t="s">
        <v>121</v>
      </c>
      <c r="D135" s="511" t="str">
        <f>IF(E135='Parametre - Agendové IS'!AX133,"OK","Chyba")</f>
        <v>OK</v>
      </c>
      <c r="E135" s="512">
        <f t="shared" si="3"/>
        <v>0</v>
      </c>
      <c r="F135" s="227"/>
      <c r="G135" s="227"/>
      <c r="H135" s="227"/>
      <c r="I135" s="227"/>
    </row>
    <row r="136" spans="1:9">
      <c r="A136" s="884"/>
      <c r="B136" s="887"/>
      <c r="C136" s="161" t="s">
        <v>122</v>
      </c>
      <c r="D136" s="511" t="str">
        <f>IF(E136='Parametre - Agendové IS'!AX134,"OK","Chyba")</f>
        <v>OK</v>
      </c>
      <c r="E136" s="512">
        <f t="shared" si="3"/>
        <v>0</v>
      </c>
      <c r="F136" s="227"/>
      <c r="G136" s="227"/>
      <c r="H136" s="227"/>
      <c r="I136" s="227"/>
    </row>
    <row r="137" spans="1:9">
      <c r="A137" s="884"/>
      <c r="B137" s="887"/>
      <c r="C137" s="161" t="s">
        <v>123</v>
      </c>
      <c r="D137" s="511" t="str">
        <f>IF(E137='Parametre - Agendové IS'!AX135,"OK","Chyba")</f>
        <v>OK</v>
      </c>
      <c r="E137" s="512">
        <f t="shared" si="3"/>
        <v>0</v>
      </c>
      <c r="F137" s="227"/>
      <c r="G137" s="227"/>
      <c r="H137" s="227"/>
      <c r="I137" s="227"/>
    </row>
    <row r="138" spans="1:9" ht="16" thickBot="1">
      <c r="A138" s="885"/>
      <c r="B138" s="888"/>
      <c r="C138" s="162" t="s">
        <v>124</v>
      </c>
      <c r="D138" s="511" t="str">
        <f>IF(E138='Parametre - Agendové IS'!AX136,"OK","Chyba")</f>
        <v>OK</v>
      </c>
      <c r="E138" s="512">
        <f t="shared" si="3"/>
        <v>0</v>
      </c>
      <c r="F138" s="227"/>
      <c r="G138" s="227"/>
      <c r="H138" s="227"/>
      <c r="I138" s="227"/>
    </row>
  </sheetData>
  <mergeCells count="32">
    <mergeCell ref="A119:A128"/>
    <mergeCell ref="B119:B128"/>
    <mergeCell ref="A109:A118"/>
    <mergeCell ref="B109:B118"/>
    <mergeCell ref="A84:A93"/>
    <mergeCell ref="B84:B93"/>
    <mergeCell ref="A107:C108"/>
    <mergeCell ref="D107:E107"/>
    <mergeCell ref="D72:E72"/>
    <mergeCell ref="D37:E37"/>
    <mergeCell ref="D2:E2"/>
    <mergeCell ref="A2:C3"/>
    <mergeCell ref="B4:B13"/>
    <mergeCell ref="A14:A23"/>
    <mergeCell ref="B14:B23"/>
    <mergeCell ref="A4:A13"/>
    <mergeCell ref="A129:A138"/>
    <mergeCell ref="B129:B138"/>
    <mergeCell ref="A24:A33"/>
    <mergeCell ref="B24:B33"/>
    <mergeCell ref="A59:A68"/>
    <mergeCell ref="B59:B68"/>
    <mergeCell ref="A94:A103"/>
    <mergeCell ref="B94:B103"/>
    <mergeCell ref="A37:C38"/>
    <mergeCell ref="A39:A48"/>
    <mergeCell ref="B39:B48"/>
    <mergeCell ref="A49:A58"/>
    <mergeCell ref="B49:B58"/>
    <mergeCell ref="A72:C73"/>
    <mergeCell ref="A74:A83"/>
    <mergeCell ref="B74:B83"/>
  </mergeCells>
  <pageMargins left="0.7" right="0.7" top="0.75" bottom="0.75" header="0.3" footer="0.3"/>
  <pageSetup paperSize="9" scale="3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80003-3B16-4F59-9CF5-24D6F1C60EE1}">
  <dimension ref="A1:M24"/>
  <sheetViews>
    <sheetView workbookViewId="0">
      <selection activeCell="M8" sqref="M8"/>
    </sheetView>
  </sheetViews>
  <sheetFormatPr baseColWidth="10" defaultColWidth="8.83203125" defaultRowHeight="15"/>
  <cols>
    <col min="1" max="1" width="36.1640625" customWidth="1"/>
    <col min="2" max="6" width="8.83203125" bestFit="1" customWidth="1"/>
    <col min="7" max="7" width="10.1640625" bestFit="1" customWidth="1"/>
    <col min="8" max="8" width="10.33203125" bestFit="1" customWidth="1"/>
    <col min="9" max="10" width="10.5" customWidth="1"/>
    <col min="12" max="12" width="12" bestFit="1" customWidth="1"/>
  </cols>
  <sheetData>
    <row r="1" spans="1:13" ht="64">
      <c r="A1" s="553"/>
      <c r="B1" s="554" t="s">
        <v>490</v>
      </c>
      <c r="C1" s="554" t="s">
        <v>491</v>
      </c>
      <c r="D1" s="554" t="s">
        <v>492</v>
      </c>
      <c r="E1" s="554" t="s">
        <v>493</v>
      </c>
      <c r="F1" s="554" t="s">
        <v>494</v>
      </c>
      <c r="G1" s="554" t="s">
        <v>495</v>
      </c>
      <c r="H1" s="554" t="s">
        <v>496</v>
      </c>
      <c r="I1" s="555" t="s">
        <v>497</v>
      </c>
      <c r="J1" s="555" t="s">
        <v>498</v>
      </c>
      <c r="K1" s="574" t="s">
        <v>499</v>
      </c>
      <c r="L1" s="574" t="s">
        <v>500</v>
      </c>
    </row>
    <row r="2" spans="1:13">
      <c r="A2" s="556" t="s">
        <v>303</v>
      </c>
      <c r="B2" s="557">
        <v>740</v>
      </c>
      <c r="C2" s="557">
        <v>800</v>
      </c>
      <c r="D2" s="557">
        <v>800</v>
      </c>
      <c r="E2" s="557"/>
      <c r="F2" s="557">
        <v>960</v>
      </c>
      <c r="G2" s="557">
        <v>1560</v>
      </c>
      <c r="H2" s="557">
        <f t="shared" ref="H2:H10" si="0">AVERAGE(B2:G2)</f>
        <v>972</v>
      </c>
      <c r="I2" s="557">
        <f>AVERAGE(B2:F2)</f>
        <v>825</v>
      </c>
      <c r="J2" s="575">
        <f>825</f>
        <v>825</v>
      </c>
      <c r="K2" s="557">
        <v>910</v>
      </c>
      <c r="L2" s="557">
        <f>J2*0.9</f>
        <v>742.5</v>
      </c>
      <c r="M2">
        <v>740</v>
      </c>
    </row>
    <row r="3" spans="1:13">
      <c r="A3" s="556" t="s">
        <v>307</v>
      </c>
      <c r="B3" s="557">
        <v>740</v>
      </c>
      <c r="C3" s="557">
        <v>820</v>
      </c>
      <c r="D3" s="557"/>
      <c r="E3" s="557">
        <v>800</v>
      </c>
      <c r="F3" s="557">
        <v>840</v>
      </c>
      <c r="G3" s="557">
        <v>1560</v>
      </c>
      <c r="H3" s="557">
        <f t="shared" si="0"/>
        <v>952</v>
      </c>
      <c r="I3" s="557">
        <f t="shared" ref="I3:I10" si="1">AVERAGE(B3:F3)</f>
        <v>800</v>
      </c>
      <c r="J3" s="557">
        <v>800</v>
      </c>
      <c r="K3" s="575">
        <v>740</v>
      </c>
      <c r="L3" s="557">
        <f>K3*0.9</f>
        <v>666</v>
      </c>
      <c r="M3">
        <v>660</v>
      </c>
    </row>
    <row r="4" spans="1:13">
      <c r="A4" s="556" t="s">
        <v>317</v>
      </c>
      <c r="B4" s="557">
        <v>725</v>
      </c>
      <c r="C4" s="557">
        <v>690</v>
      </c>
      <c r="D4" s="557">
        <v>650</v>
      </c>
      <c r="E4" s="557"/>
      <c r="F4" s="557">
        <v>840</v>
      </c>
      <c r="G4" s="557">
        <f>175*8</f>
        <v>1400</v>
      </c>
      <c r="H4" s="557">
        <f t="shared" si="0"/>
        <v>861</v>
      </c>
      <c r="I4" s="557">
        <f t="shared" si="1"/>
        <v>726.25</v>
      </c>
      <c r="J4" s="557">
        <v>725</v>
      </c>
      <c r="K4" s="575">
        <v>650</v>
      </c>
      <c r="L4" s="557">
        <f>K4*0.9</f>
        <v>585</v>
      </c>
      <c r="M4">
        <v>580</v>
      </c>
    </row>
    <row r="5" spans="1:13">
      <c r="A5" s="556" t="s">
        <v>320</v>
      </c>
      <c r="B5" s="557">
        <v>691.66</v>
      </c>
      <c r="C5" s="557">
        <v>600</v>
      </c>
      <c r="D5" s="557">
        <v>570</v>
      </c>
      <c r="E5" s="557"/>
      <c r="F5" s="557">
        <v>840</v>
      </c>
      <c r="G5" s="557">
        <v>800</v>
      </c>
      <c r="H5" s="557">
        <f>AVERAGE(B5:G5)</f>
        <v>700.33199999999999</v>
      </c>
      <c r="I5" s="557">
        <f t="shared" si="1"/>
        <v>675.41499999999996</v>
      </c>
      <c r="J5" s="557">
        <v>675</v>
      </c>
      <c r="K5" s="575">
        <v>570</v>
      </c>
      <c r="L5" s="557">
        <f>K5*0.9</f>
        <v>513</v>
      </c>
      <c r="M5">
        <v>510</v>
      </c>
    </row>
    <row r="6" spans="1:13">
      <c r="A6" s="556" t="s">
        <v>501</v>
      </c>
      <c r="B6" s="557"/>
      <c r="C6" s="557"/>
      <c r="D6" s="557">
        <v>675</v>
      </c>
      <c r="E6" s="557">
        <v>800</v>
      </c>
      <c r="F6" s="557"/>
      <c r="G6" s="557">
        <f>195*8</f>
        <v>1560</v>
      </c>
      <c r="H6" s="557">
        <f t="shared" si="0"/>
        <v>1011.6666666666666</v>
      </c>
      <c r="I6" s="557">
        <f t="shared" si="1"/>
        <v>737.5</v>
      </c>
      <c r="J6" s="575">
        <v>735</v>
      </c>
      <c r="K6" s="557">
        <v>890</v>
      </c>
      <c r="L6" s="557">
        <f t="shared" ref="L6:L10" si="2">J6*0.9</f>
        <v>661.5</v>
      </c>
      <c r="M6">
        <v>660</v>
      </c>
    </row>
    <row r="7" spans="1:13">
      <c r="A7" s="556" t="s">
        <v>304</v>
      </c>
      <c r="B7" s="557"/>
      <c r="C7" s="557"/>
      <c r="D7" s="557"/>
      <c r="E7" s="557"/>
      <c r="F7" s="557">
        <v>960</v>
      </c>
      <c r="G7" s="557">
        <f>150*8</f>
        <v>1200</v>
      </c>
      <c r="H7" s="557">
        <f t="shared" si="0"/>
        <v>1080</v>
      </c>
      <c r="I7" s="557">
        <f t="shared" si="1"/>
        <v>960</v>
      </c>
      <c r="J7" s="575">
        <v>960</v>
      </c>
      <c r="K7" s="557">
        <v>1200</v>
      </c>
      <c r="L7" s="557">
        <f t="shared" si="2"/>
        <v>864</v>
      </c>
      <c r="M7">
        <v>860</v>
      </c>
    </row>
    <row r="8" spans="1:13">
      <c r="A8" s="556" t="s">
        <v>323</v>
      </c>
      <c r="B8" s="557">
        <v>725</v>
      </c>
      <c r="C8" s="557">
        <v>780</v>
      </c>
      <c r="D8" s="557">
        <v>740</v>
      </c>
      <c r="E8" s="557"/>
      <c r="F8" s="557"/>
      <c r="G8" s="557">
        <v>1200</v>
      </c>
      <c r="H8" s="557">
        <f t="shared" si="0"/>
        <v>861.25</v>
      </c>
      <c r="I8" s="557">
        <f>AVERAGE(B8:F8)</f>
        <v>748.33333333333337</v>
      </c>
      <c r="J8" s="575">
        <v>720</v>
      </c>
      <c r="K8" s="557">
        <v>790</v>
      </c>
      <c r="L8" s="557">
        <f t="shared" si="2"/>
        <v>648</v>
      </c>
      <c r="M8">
        <v>640</v>
      </c>
    </row>
    <row r="9" spans="1:13">
      <c r="A9" s="556" t="s">
        <v>309</v>
      </c>
      <c r="B9" s="557">
        <v>691.66</v>
      </c>
      <c r="C9" s="557">
        <v>620</v>
      </c>
      <c r="D9" s="557">
        <v>600</v>
      </c>
      <c r="E9" s="557">
        <v>800</v>
      </c>
      <c r="F9" s="557"/>
      <c r="G9" s="557">
        <v>896</v>
      </c>
      <c r="H9" s="557">
        <f t="shared" si="0"/>
        <v>721.53199999999993</v>
      </c>
      <c r="I9" s="557">
        <f t="shared" si="1"/>
        <v>677.91499999999996</v>
      </c>
      <c r="J9" s="575">
        <v>670</v>
      </c>
      <c r="K9" s="557">
        <v>710</v>
      </c>
      <c r="L9" s="557">
        <f t="shared" si="2"/>
        <v>603</v>
      </c>
      <c r="M9">
        <v>600</v>
      </c>
    </row>
    <row r="10" spans="1:13">
      <c r="A10" s="556" t="s">
        <v>305</v>
      </c>
      <c r="B10" s="557">
        <v>750</v>
      </c>
      <c r="C10" s="557">
        <v>850</v>
      </c>
      <c r="D10" s="557">
        <v>756</v>
      </c>
      <c r="E10" s="557">
        <v>800</v>
      </c>
      <c r="F10" s="557">
        <v>960</v>
      </c>
      <c r="G10" s="557">
        <v>1200</v>
      </c>
      <c r="H10" s="557">
        <f t="shared" si="0"/>
        <v>886</v>
      </c>
      <c r="I10" s="557">
        <f t="shared" si="1"/>
        <v>823.2</v>
      </c>
      <c r="J10" s="575">
        <v>820</v>
      </c>
      <c r="K10" s="557">
        <v>890</v>
      </c>
      <c r="L10" s="557">
        <f t="shared" si="2"/>
        <v>738</v>
      </c>
      <c r="M10">
        <v>740</v>
      </c>
    </row>
    <row r="13" spans="1:13">
      <c r="A13" t="s">
        <v>502</v>
      </c>
    </row>
    <row r="14" spans="1:13">
      <c r="A14" s="552" t="s">
        <v>503</v>
      </c>
    </row>
    <row r="15" spans="1:13">
      <c r="A15" t="s">
        <v>504</v>
      </c>
    </row>
    <row r="16" spans="1:13">
      <c r="A16" s="552" t="s">
        <v>505</v>
      </c>
    </row>
    <row r="17" spans="1:1">
      <c r="A17" t="s">
        <v>506</v>
      </c>
    </row>
    <row r="18" spans="1:1">
      <c r="A18" s="552" t="s">
        <v>507</v>
      </c>
    </row>
    <row r="19" spans="1:1">
      <c r="A19" t="s">
        <v>508</v>
      </c>
    </row>
    <row r="20" spans="1:1">
      <c r="A20" s="552" t="s">
        <v>509</v>
      </c>
    </row>
    <row r="21" spans="1:1">
      <c r="A21" t="s">
        <v>510</v>
      </c>
    </row>
    <row r="22" spans="1:1">
      <c r="A22" s="552" t="s">
        <v>511</v>
      </c>
    </row>
    <row r="23" spans="1:1">
      <c r="A23" t="s">
        <v>512</v>
      </c>
    </row>
    <row r="24" spans="1:1">
      <c r="A24" s="552" t="s">
        <v>513</v>
      </c>
    </row>
  </sheetData>
  <hyperlinks>
    <hyperlink ref="A22" r:id="rId1" xr:uid="{390F349B-C3F4-4718-8AB6-1CCEB0BEA38D}"/>
    <hyperlink ref="A24" r:id="rId2" xr:uid="{2A362C9D-FCEE-479E-9F27-4B68DB42AA43}"/>
    <hyperlink ref="A20" r:id="rId3" xr:uid="{5151B908-C141-4D70-BB55-B7CCAFFC93C5}"/>
    <hyperlink ref="A18" r:id="rId4" xr:uid="{275701D5-F4A6-4017-97B0-EFB6F5C3FDF7}"/>
    <hyperlink ref="A16" r:id="rId5" xr:uid="{C3E70212-82B6-43B2-8359-FE3E1984E754}"/>
    <hyperlink ref="A14" r:id="rId6" xr:uid="{7EF56D39-32F4-48FD-A91A-22038FC91B0A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</sheetPr>
  <dimension ref="A1:V27"/>
  <sheetViews>
    <sheetView zoomScaleNormal="100" workbookViewId="0">
      <selection activeCell="P21" sqref="P21"/>
    </sheetView>
  </sheetViews>
  <sheetFormatPr baseColWidth="10" defaultColWidth="9.1640625" defaultRowHeight="15"/>
  <cols>
    <col min="2" max="2" width="9.1640625" customWidth="1"/>
    <col min="3" max="3" width="32" customWidth="1"/>
    <col min="4" max="6" width="13.5" bestFit="1" customWidth="1"/>
    <col min="7" max="7" width="11.6640625" bestFit="1" customWidth="1"/>
    <col min="8" max="8" width="19.83203125" customWidth="1"/>
    <col min="9" max="9" width="13.83203125" bestFit="1" customWidth="1"/>
    <col min="15" max="15" width="32.33203125" customWidth="1"/>
    <col min="16" max="18" width="15.5" bestFit="1" customWidth="1"/>
    <col min="19" max="19" width="12.83203125" bestFit="1" customWidth="1"/>
    <col min="20" max="20" width="20.5" customWidth="1"/>
    <col min="21" max="21" width="15.5" bestFit="1" customWidth="1"/>
  </cols>
  <sheetData>
    <row r="1" spans="1:21" ht="21.75" customHeight="1" thickBot="1">
      <c r="A1" s="754" t="s">
        <v>78</v>
      </c>
      <c r="B1" s="754"/>
      <c r="C1" s="754"/>
      <c r="D1" s="472"/>
      <c r="E1" s="472"/>
      <c r="F1" s="472"/>
      <c r="G1" s="472"/>
      <c r="H1" s="472"/>
      <c r="I1" s="472"/>
      <c r="J1" s="472"/>
      <c r="K1" s="472"/>
      <c r="L1" s="472"/>
      <c r="M1" s="754" t="s">
        <v>79</v>
      </c>
      <c r="N1" s="754"/>
      <c r="O1" s="754"/>
    </row>
    <row r="2" spans="1:21" ht="32">
      <c r="A2" s="755"/>
      <c r="B2" s="756"/>
      <c r="C2" s="757"/>
      <c r="D2" s="537" t="str">
        <f>'Parametre - Agendové IS'!G1</f>
        <v>eSlužby ZŠ, SŠ</v>
      </c>
      <c r="E2" s="537" t="str">
        <f>'Parametre - Agendové IS'!P1</f>
        <v>eSlužby VŠ</v>
      </c>
      <c r="F2" s="537" t="str">
        <f>'Parametre - Agendové IS'!V1</f>
        <v>eSlužby Pedagóg</v>
      </c>
      <c r="G2" s="538" t="str">
        <f>'Parametre - Agendové IS'!AW1</f>
        <v>Pôžičky FNP</v>
      </c>
      <c r="H2" s="540" t="s">
        <v>80</v>
      </c>
      <c r="I2" s="539" t="s">
        <v>81</v>
      </c>
      <c r="M2" s="755"/>
      <c r="N2" s="756"/>
      <c r="O2" s="757"/>
      <c r="P2" s="537" t="str">
        <f>D2</f>
        <v>eSlužby ZŠ, SŠ</v>
      </c>
      <c r="Q2" s="537" t="str">
        <f>E2</f>
        <v>eSlužby VŠ</v>
      </c>
      <c r="R2" s="537" t="str">
        <f>F2</f>
        <v>eSlužby Pedagóg</v>
      </c>
      <c r="S2" s="538" t="str">
        <f>G2</f>
        <v>Pôžičky FNP</v>
      </c>
      <c r="T2" s="540" t="s">
        <v>80</v>
      </c>
      <c r="U2" s="539" t="s">
        <v>81</v>
      </c>
    </row>
    <row r="3" spans="1:21">
      <c r="A3" s="317" t="s">
        <v>82</v>
      </c>
      <c r="B3" s="318"/>
      <c r="C3" s="319"/>
      <c r="D3" s="320">
        <f>D4+D5+D9+D13+D14</f>
        <v>915995.37417389126</v>
      </c>
      <c r="E3" s="320">
        <f>E4+E5+E9+E13+E14</f>
        <v>2976065.8347771568</v>
      </c>
      <c r="F3" s="320">
        <f>F4+F5+F9+F13+F14</f>
        <v>14034037.478756655</v>
      </c>
      <c r="G3" s="321">
        <f>G4+G5+G9+G13+G14</f>
        <v>1197474.1954430281</v>
      </c>
      <c r="H3" s="320" t="e">
        <f>H5+H9+H13+H14</f>
        <v>#REF!</v>
      </c>
      <c r="I3" s="473" t="e">
        <f>SUM(D3:H3)</f>
        <v>#REF!</v>
      </c>
      <c r="M3" s="317" t="s">
        <v>82</v>
      </c>
      <c r="N3" s="318"/>
      <c r="O3" s="319"/>
      <c r="P3" s="320">
        <f>P4+P5+P9+P13+P14</f>
        <v>1034139.5999999999</v>
      </c>
      <c r="Q3" s="320">
        <f>Q4+Q5+Q9+Q13+Q14</f>
        <v>3462789.75</v>
      </c>
      <c r="R3" s="320">
        <f>R4+R5+R9+R13+R14</f>
        <v>16965468</v>
      </c>
      <c r="S3" s="321">
        <f>S4+S5+S9+S13+S14</f>
        <v>1365487.2</v>
      </c>
      <c r="T3" s="320" t="e">
        <f>T5+T9+T13+T14</f>
        <v>#REF!</v>
      </c>
      <c r="U3" s="473" t="e">
        <f>SUM(P3:T3)</f>
        <v>#REF!</v>
      </c>
    </row>
    <row r="4" spans="1:21">
      <c r="A4" s="322"/>
      <c r="B4" s="323" t="s">
        <v>83</v>
      </c>
      <c r="C4" s="324"/>
      <c r="D4" s="487">
        <f>'Parametre - Agendové IS'!I107+NPV(Faktory!$D$5,'Parametre - Agendové IS'!I108:I116)</f>
        <v>-44319.173207494314</v>
      </c>
      <c r="E4" s="487">
        <f>'Parametre - Agendové IS'!L107+NPV(Faktory!$D$5,'Parametre - Agendové IS'!L108:L116)</f>
        <v>-387.79276556557528</v>
      </c>
      <c r="F4" s="487">
        <f>'Parametre - Agendové IS'!O107+NPV(Faktory!$D$5,'Parametre - Agendové IS'!O108:O116)</f>
        <v>-180969.9572639351</v>
      </c>
      <c r="G4" s="488">
        <f>'Parametre - Agendové IS'!AY107+NPV(Faktory!$D$5,'Parametre - Agendové IS'!AY108:AY116)</f>
        <v>0</v>
      </c>
      <c r="H4" s="543" t="s">
        <v>84</v>
      </c>
      <c r="I4" s="489">
        <f>SUM(D4:H4)</f>
        <v>-225676.92323699498</v>
      </c>
      <c r="M4" s="322"/>
      <c r="N4" s="323" t="s">
        <v>83</v>
      </c>
      <c r="O4" s="324"/>
      <c r="P4" s="487">
        <f>SUM('Parametre - Agendové IS'!I107:I116)</f>
        <v>-57600</v>
      </c>
      <c r="Q4" s="487">
        <f>SUM('Parametre - Agendové IS'!L107:L116)</f>
        <v>-504</v>
      </c>
      <c r="R4" s="487">
        <f>SUM('Parametre - Agendové IS'!O107:O116)</f>
        <v>-235199.99999999997</v>
      </c>
      <c r="S4" s="488">
        <f>SUM('Parametre - Agendové IS'!AY107:AY116)</f>
        <v>0</v>
      </c>
      <c r="T4" s="543" t="s">
        <v>84</v>
      </c>
      <c r="U4" s="489">
        <f>SUM(P4:T4)</f>
        <v>-293304</v>
      </c>
    </row>
    <row r="5" spans="1:21">
      <c r="A5" s="322"/>
      <c r="B5" s="323" t="s">
        <v>85</v>
      </c>
      <c r="C5" s="324"/>
      <c r="D5" s="487">
        <f>SUM(D6:D8)</f>
        <v>577640</v>
      </c>
      <c r="E5" s="487">
        <f>SUM(E6:E8)</f>
        <v>1507273.0357142857</v>
      </c>
      <c r="F5" s="487">
        <f>SUM(F6:F8)</f>
        <v>2127065.7142857146</v>
      </c>
      <c r="G5" s="488">
        <f>SUM(G6:G8)</f>
        <v>730520</v>
      </c>
      <c r="H5" s="487" t="e">
        <f>SUM(H6:H8)</f>
        <v>#REF!</v>
      </c>
      <c r="I5" s="489" t="e">
        <f>SUM(D5:H5)</f>
        <v>#REF!</v>
      </c>
      <c r="M5" s="322"/>
      <c r="N5" s="323" t="s">
        <v>85</v>
      </c>
      <c r="O5" s="324"/>
      <c r="P5" s="487">
        <f>SUM(P6:P8)</f>
        <v>606522</v>
      </c>
      <c r="Q5" s="487">
        <f>SUM(Q6:Q8)</f>
        <v>1553853.75</v>
      </c>
      <c r="R5" s="487">
        <f>SUM(R6:R8)</f>
        <v>2177260</v>
      </c>
      <c r="S5" s="488">
        <f>SUM(S6:S8)</f>
        <v>758604</v>
      </c>
      <c r="T5" s="487" t="e">
        <f>SUM(T6+T7)</f>
        <v>#REF!</v>
      </c>
      <c r="U5" s="489" t="e">
        <f>SUM(P5:T5)</f>
        <v>#REF!</v>
      </c>
    </row>
    <row r="6" spans="1:21">
      <c r="A6" s="325"/>
      <c r="B6" s="326"/>
      <c r="C6" s="327" t="s">
        <v>86</v>
      </c>
      <c r="D6" s="490">
        <f>('TCO TO BE- SW'!G26+NPV(Faktory!$D$5,'TCO TO BE- SW'!G27:G35)+'TCO TO BE- SW'!G36+NPV(Faktory!$D$5,'TCO TO BE- SW'!G37:G45)+'TCO TO BE- SW'!G46+NPV(Faktory!$D$5,'TCO TO BE- SW'!G47:G55))</f>
        <v>577640</v>
      </c>
      <c r="E6" s="490">
        <f>('TCO TO BE- SW'!H26+NPV(Faktory!$D$5,'TCO TO BE- SW'!H27:H35)+'TCO TO BE- SW'!H36+NPV(Faktory!$D$5,'TCO TO BE- SW'!H37:H45)+'TCO TO BE- SW'!H46+NPV(Faktory!$D$5,'TCO TO BE- SW'!H47:H55))</f>
        <v>1000380</v>
      </c>
      <c r="F6" s="490">
        <f>('TCO TO BE- SW'!I26+NPV(Faktory!$D$5,'TCO TO BE- SW'!I27:I35)+'TCO TO BE- SW'!I36+NPV(Faktory!$D$5,'TCO TO BE- SW'!I37:I45)+'TCO TO BE- SW'!I46+NPV(Faktory!$D$5,'TCO TO BE- SW'!I47:I55))</f>
        <v>1489280</v>
      </c>
      <c r="G6" s="490">
        <f>('TCO TO BE- SW'!J26+NPV(Faktory!$D$5,'TCO TO BE- SW'!J27:J35)+'TCO TO BE- SW'!J36+NPV(Faktory!$D$5,'TCO TO BE- SW'!J37:J45)+'TCO TO BE- SW'!J46+NPV(Faktory!$D$5,'TCO TO BE- SW'!J47:J55))</f>
        <v>730520</v>
      </c>
      <c r="H6" s="490" t="e">
        <f>('TCO TO BE- SW'!#REF!+NPV(Faktory!$D$5,'TCO TO BE- SW'!#REF!)+'TCO TO BE- SW'!#REF!+NPV(Faktory!$D$5,'TCO TO BE- SW'!#REF!)+'TCO TO BE- SW'!#REF!+NPV(Faktory!$D$5,'TCO TO BE- SW'!#REF!))</f>
        <v>#REF!</v>
      </c>
      <c r="I6" s="492" t="e">
        <f>SUM(D6:H6)</f>
        <v>#REF!</v>
      </c>
      <c r="M6" s="325"/>
      <c r="N6" s="326"/>
      <c r="O6" s="327" t="s">
        <v>86</v>
      </c>
      <c r="P6" s="490">
        <f>'TCO TO BE- SW'!G25</f>
        <v>606522</v>
      </c>
      <c r="Q6" s="490">
        <f>'TCO TO BE- SW'!H25</f>
        <v>1040550</v>
      </c>
      <c r="R6" s="490">
        <f>'TCO TO BE- SW'!I25</f>
        <v>1534260</v>
      </c>
      <c r="S6" s="490">
        <f>'TCO TO BE- SW'!J25</f>
        <v>758604</v>
      </c>
      <c r="T6" s="490" t="e">
        <f>'TCO TO BE- SW'!#REF!</f>
        <v>#REF!</v>
      </c>
      <c r="U6" s="492" t="e">
        <f>SUM(P6:T6)</f>
        <v>#REF!</v>
      </c>
    </row>
    <row r="7" spans="1:21">
      <c r="A7" s="325"/>
      <c r="B7" s="326"/>
      <c r="C7" s="327" t="s">
        <v>87</v>
      </c>
      <c r="D7" s="490">
        <f>('TCO TO BE- SW'!G5+NPV(Faktory!$D$5,'TCO TO BE- SW'!G6:G14)+'TCO TO BE- SW'!G15+NPV(Faktory!$D$5,'TCO TO BE- SW'!G16:G24))</f>
        <v>0</v>
      </c>
      <c r="E7" s="490">
        <f>('TCO TO BE- SW'!H5+NPV(Faktory!$D$5,'TCO TO BE- SW'!H6:H14)+'TCO TO BE- SW'!H15+NPV(Faktory!$D$5,'TCO TO BE- SW'!H16:H24))</f>
        <v>506893.03571428568</v>
      </c>
      <c r="F7" s="490">
        <f>('TCO TO BE- SW'!I5+NPV(Faktory!$D$5,'TCO TO BE- SW'!I6:I14)+'TCO TO BE- SW'!I15+NPV(Faktory!$D$5,'TCO TO BE- SW'!I16:I24))</f>
        <v>637785.71428571432</v>
      </c>
      <c r="G7" s="490">
        <f>('TCO TO BE- SW'!J5+NPV(Faktory!$D$5,'TCO TO BE- SW'!J6:J14)+'TCO TO BE- SW'!J15+NPV(Faktory!$D$5,'TCO TO BE- SW'!J16:J24))</f>
        <v>0</v>
      </c>
      <c r="H7" s="490" t="e">
        <f>('TCO TO BE- SW'!#REF!+NPV(Faktory!$D$5,'TCO TO BE- SW'!#REF!)+'TCO TO BE- SW'!#REF!+NPV(Faktory!$D$5,'TCO TO BE- SW'!#REF!))</f>
        <v>#REF!</v>
      </c>
      <c r="I7" s="492" t="e">
        <f>SUM(D7:H7)</f>
        <v>#REF!</v>
      </c>
      <c r="M7" s="325"/>
      <c r="N7" s="326"/>
      <c r="O7" s="327" t="s">
        <v>87</v>
      </c>
      <c r="P7" s="490">
        <f>'TCO TO BE- SW'!G4</f>
        <v>0</v>
      </c>
      <c r="Q7" s="490">
        <f>'TCO TO BE- SW'!H4</f>
        <v>513303.75</v>
      </c>
      <c r="R7" s="490">
        <f>'TCO TO BE- SW'!I4</f>
        <v>643000</v>
      </c>
      <c r="S7" s="490">
        <f>'TCO TO BE- SW'!J4</f>
        <v>0</v>
      </c>
      <c r="T7" s="490" t="e">
        <f>'TCO TO BE- SW'!#REF!</f>
        <v>#REF!</v>
      </c>
      <c r="U7" s="492" t="e">
        <f>SUM(P7:T7)</f>
        <v>#REF!</v>
      </c>
    </row>
    <row r="8" spans="1:21">
      <c r="A8" s="325"/>
      <c r="B8" s="326"/>
      <c r="C8" s="327" t="s">
        <v>88</v>
      </c>
      <c r="D8" s="490">
        <f>('TCO TO BE - HW'!F4+NPV(Faktory!$D$5,'TCO TO BE - HW'!F5:F13)+'TCO TO BE - HW'!F14+NPV(Faktory!$D$5,'TCO TO BE - HW'!F15:F23)+'TCO TO BE - HW'!F24+NPV(Faktory!$D$5,'TCO TO BE - HW'!F25:F33))</f>
        <v>0</v>
      </c>
      <c r="E8" s="490">
        <f>('TCO TO BE - HW'!G4+NPV(Faktory!$D$5,'TCO TO BE - HW'!G5:G13)+'TCO TO BE - HW'!G14+NPV(Faktory!$D$5,'TCO TO BE - HW'!G15:G23)+'TCO TO BE - HW'!G24+NPV(Faktory!$D$5,'TCO TO BE - HW'!G25:G33))</f>
        <v>0</v>
      </c>
      <c r="F8" s="490">
        <f>('TCO TO BE - HW'!H4+NPV(Faktory!$D$5,'TCO TO BE - HW'!H5:H13)+'TCO TO BE - HW'!H14+NPV(Faktory!$D$5,'TCO TO BE - HW'!H15:H23)+'TCO TO BE - HW'!H24+NPV(Faktory!$D$5,'TCO TO BE - HW'!H25:H33))</f>
        <v>0</v>
      </c>
      <c r="G8" s="490">
        <f>('TCO TO BE - HW'!I4+NPV(Faktory!$D$5,'TCO TO BE - HW'!I5:I13)+'TCO TO BE - HW'!I14+NPV(Faktory!$D$5,'TCO TO BE - HW'!I15:I23)+'TCO TO BE - HW'!I24+NPV(Faktory!$D$5,'TCO TO BE - HW'!I25:I33))</f>
        <v>0</v>
      </c>
      <c r="H8" s="493" t="s">
        <v>84</v>
      </c>
      <c r="I8" s="492">
        <f t="shared" ref="I8:I17" si="0">SUM(D8:G8)</f>
        <v>0</v>
      </c>
      <c r="M8" s="325"/>
      <c r="N8" s="326"/>
      <c r="O8" s="327" t="s">
        <v>88</v>
      </c>
      <c r="P8" s="490">
        <f>'TCO TO BE - HW'!F3</f>
        <v>0</v>
      </c>
      <c r="Q8" s="490">
        <f>'TCO TO BE - HW'!G3</f>
        <v>0</v>
      </c>
      <c r="R8" s="490">
        <f>'TCO TO BE - HW'!H3</f>
        <v>0</v>
      </c>
      <c r="S8" s="490">
        <f>'TCO TO BE - HW'!I3</f>
        <v>0</v>
      </c>
      <c r="T8" s="493" t="s">
        <v>84</v>
      </c>
      <c r="U8" s="492">
        <f t="shared" ref="U8:U23" si="1">SUM(P8:S8)</f>
        <v>0</v>
      </c>
    </row>
    <row r="9" spans="1:21">
      <c r="A9" s="322"/>
      <c r="B9" s="323" t="s">
        <v>89</v>
      </c>
      <c r="C9" s="324"/>
      <c r="D9" s="487">
        <f>SUM(D10:D12)</f>
        <v>382674.54738138564</v>
      </c>
      <c r="E9" s="487">
        <f>SUM(E10:E12)</f>
        <v>1469180.5918284366</v>
      </c>
      <c r="F9" s="487">
        <f>SUM(F10:F12)</f>
        <v>12087941.721734876</v>
      </c>
      <c r="G9" s="488">
        <f>SUM(G10:G12)</f>
        <v>466954.19544302806</v>
      </c>
      <c r="H9" s="487" t="e">
        <f>SUM(H10:H12)</f>
        <v>#REF!</v>
      </c>
      <c r="I9" s="489" t="e">
        <f>SUM(D9:H9)</f>
        <v>#REF!</v>
      </c>
      <c r="M9" s="322"/>
      <c r="N9" s="323" t="s">
        <v>89</v>
      </c>
      <c r="O9" s="324"/>
      <c r="P9" s="487">
        <f>SUM(P10:P12)</f>
        <v>485217.59999999986</v>
      </c>
      <c r="Q9" s="487">
        <f>SUM(Q10:Q12)</f>
        <v>1909440</v>
      </c>
      <c r="R9" s="487">
        <f>SUM(R10:R12)</f>
        <v>15023408</v>
      </c>
      <c r="S9" s="488">
        <f>SUM(S10:S12)</f>
        <v>606883.19999999995</v>
      </c>
      <c r="T9" s="487" t="e">
        <f>SUM(T10+T11)</f>
        <v>#REF!</v>
      </c>
      <c r="U9" s="489" t="e">
        <f>SUM(P9:T9)</f>
        <v>#REF!</v>
      </c>
    </row>
    <row r="10" spans="1:21">
      <c r="A10" s="325"/>
      <c r="B10" s="326"/>
      <c r="C10" s="327" t="s">
        <v>86</v>
      </c>
      <c r="D10" s="490">
        <f>('TCO TO BE- SW'!G79+NPV(Faktory!$D$5,'TCO TO BE- SW'!G80:G88)+'TCO TO BE- SW'!G89+NPV(Faktory!$D$5,'TCO TO BE- SW'!G90:G98)+'TCO TO BE- SW'!G99+NPV(Faktory!$D$5,'TCO TO BE- SW'!G100:G108)+'TCO TO BE- SW'!G109+NPV(Faktory!$D$5,'TCO TO BE- SW'!G110:G118)+'TCO TO BE- SW'!G119+NPV(Faktory!$D$5,'TCO TO BE- SW'!G120:G128))</f>
        <v>382674.54738138564</v>
      </c>
      <c r="E10" s="490">
        <f>('TCO TO BE- SW'!H79+NPV(Faktory!$D$5,'TCO TO BE- SW'!H80:H88)+'TCO TO BE- SW'!H89+NPV(Faktory!$D$5,'TCO TO BE- SW'!H90:H98)+'TCO TO BE- SW'!H99+NPV(Faktory!$D$5,'TCO TO BE- SW'!H100:H108)+'TCO TO BE- SW'!H109+NPV(Faktory!$D$5,'TCO TO BE- SW'!H110:H118)+'TCO TO BE- SW'!H119+NPV(Faktory!$D$5,'TCO TO BE- SW'!H120:H128))</f>
        <v>640504.38445914176</v>
      </c>
      <c r="F10" s="490">
        <f>('TCO TO BE- SW'!I79+NPV(Faktory!$D$5,'TCO TO BE- SW'!I80:I88)+'TCO TO BE- SW'!I89+NPV(Faktory!$D$5,'TCO TO BE- SW'!I90:I98)+'TCO TO BE- SW'!I99+NPV(Faktory!$D$5,'TCO TO BE- SW'!I100:I108)+'TCO TO BE- SW'!I109+NPV(Faktory!$D$5,'TCO TO BE- SW'!I110:I118)+'TCO TO BE- SW'!I119+NPV(Faktory!$D$5,'TCO TO BE- SW'!I120:I128))</f>
        <v>11306200.749880463</v>
      </c>
      <c r="G10" s="490">
        <f>('TCO TO BE- SW'!J79+NPV(Faktory!$D$5,'TCO TO BE- SW'!J80:J88)+'TCO TO BE- SW'!J89+NPV(Faktory!$D$5,'TCO TO BE- SW'!J90:J98)+'TCO TO BE- SW'!J99+NPV(Faktory!$D$5,'TCO TO BE- SW'!J100:J108)+'TCO TO BE- SW'!J109+NPV(Faktory!$D$5,'TCO TO BE- SW'!J110:J118)+'TCO TO BE- SW'!J119+NPV(Faktory!$D$5,'TCO TO BE- SW'!J120:J128))</f>
        <v>466954.19544302806</v>
      </c>
      <c r="H10" s="490" t="e">
        <f>('TCO TO BE- SW'!#REF!+NPV(Faktory!$D$5,'TCO TO BE- SW'!#REF!)+'TCO TO BE- SW'!#REF!+NPV(Faktory!$D$5,'TCO TO BE- SW'!#REF!)+'TCO TO BE- SW'!#REF!+NPV(Faktory!$D$5,'TCO TO BE- SW'!#REF!)+'TCO TO BE- SW'!#REF!+NPV(Faktory!$D$5,'TCO TO BE- SW'!#REF!)+'TCO TO BE- SW'!#REF!+NPV(Faktory!$D$5,'TCO TO BE- SW'!#REF!))</f>
        <v>#REF!</v>
      </c>
      <c r="I10" s="492" t="e">
        <f>SUM(D10:H10)</f>
        <v>#REF!</v>
      </c>
      <c r="M10" s="325"/>
      <c r="N10" s="326"/>
      <c r="O10" s="327" t="s">
        <v>86</v>
      </c>
      <c r="P10" s="490">
        <f>'TCO TO BE- SW'!G78</f>
        <v>485217.59999999986</v>
      </c>
      <c r="Q10" s="490">
        <f>'TCO TO BE- SW'!H78</f>
        <v>832440</v>
      </c>
      <c r="R10" s="490">
        <f>'TCO TO BE- SW'!I78</f>
        <v>14007408</v>
      </c>
      <c r="S10" s="490">
        <f>'TCO TO BE- SW'!J78</f>
        <v>606883.19999999995</v>
      </c>
      <c r="T10" s="490" t="e">
        <f>'TCO TO BE- SW'!#REF!</f>
        <v>#REF!</v>
      </c>
      <c r="U10" s="492" t="e">
        <f>SUM(P10:T10)</f>
        <v>#REF!</v>
      </c>
    </row>
    <row r="11" spans="1:21">
      <c r="A11" s="325"/>
      <c r="B11" s="326"/>
      <c r="C11" s="327" t="s">
        <v>87</v>
      </c>
      <c r="D11" s="490">
        <f>('TCO TO BE- SW'!G58+NPV(Faktory!$D$5,'TCO TO BE- SW'!G59:G67)+'TCO TO BE- SW'!G68+NPV(Faktory!$D$5,'TCO TO BE- SW'!G69:G77))</f>
        <v>0</v>
      </c>
      <c r="E11" s="490">
        <f>('TCO TO BE- SW'!H58+NPV(Faktory!$D$5,'TCO TO BE- SW'!H59:H67)+'TCO TO BE- SW'!H68+NPV(Faktory!$D$5,'TCO TO BE- SW'!H69:H77))</f>
        <v>828676.20736929483</v>
      </c>
      <c r="F11" s="490">
        <f>('TCO TO BE- SW'!I58+NPV(Faktory!$D$5,'TCO TO BE- SW'!I59:I67)+'TCO TO BE- SW'!I68+NPV(Faktory!$D$5,'TCO TO BE- SW'!I69:I77))</f>
        <v>781740.97185441351</v>
      </c>
      <c r="G11" s="490">
        <f>('TCO TO BE- SW'!J58+NPV(Faktory!$D$5,'TCO TO BE- SW'!J59:J67)+'TCO TO BE- SW'!J68+NPV(Faktory!$D$5,'TCO TO BE- SW'!J69:J77))</f>
        <v>0</v>
      </c>
      <c r="H11" s="490" t="e">
        <f>('TCO TO BE- SW'!#REF!+NPV(Faktory!$D$5,'TCO TO BE- SW'!#REF!)+'TCO TO BE- SW'!#REF!+NPV(Faktory!$D$5,'TCO TO BE- SW'!#REF!))</f>
        <v>#REF!</v>
      </c>
      <c r="I11" s="492" t="e">
        <f>SUM(D11:H11)</f>
        <v>#REF!</v>
      </c>
      <c r="M11" s="325"/>
      <c r="N11" s="326"/>
      <c r="O11" s="327" t="s">
        <v>87</v>
      </c>
      <c r="P11" s="490">
        <f>'TCO TO BE- SW'!G57</f>
        <v>0</v>
      </c>
      <c r="Q11" s="490">
        <f>'TCO TO BE- SW'!H57</f>
        <v>1077000</v>
      </c>
      <c r="R11" s="490">
        <f>'TCO TO BE- SW'!I57</f>
        <v>1016000</v>
      </c>
      <c r="S11" s="490">
        <f>'TCO TO BE- SW'!J57</f>
        <v>0</v>
      </c>
      <c r="T11" s="490" t="e">
        <f>'TCO TO BE- SW'!#REF!</f>
        <v>#REF!</v>
      </c>
      <c r="U11" s="492" t="e">
        <f>SUM(P11:T11)</f>
        <v>#REF!</v>
      </c>
    </row>
    <row r="12" spans="1:21">
      <c r="A12" s="325"/>
      <c r="B12" s="326"/>
      <c r="C12" s="327" t="s">
        <v>88</v>
      </c>
      <c r="D12" s="490">
        <f>('TCO TO BE - HW'!F35+NPV(Faktory!$D$5,'TCO TO BE - HW'!F36:F44)+'TCO TO BE - HW'!F45+NPV(Faktory!$D$5,'TCO TO BE - HW'!F46:F54)+'TCO TO BE - HW'!F55+NPV(Faktory!$D$5,'TCO TO BE - HW'!F56:F64)+'TCO TO BE - HW'!F65+NPV(Faktory!$D$5,'TCO TO BE - HW'!F66:F74)+'TCO TO BE - HW'!F75+NPV(Faktory!$D$5,'TCO TO BE - HW'!F76:F84))</f>
        <v>0</v>
      </c>
      <c r="E12" s="490">
        <f>('TCO TO BE - HW'!G35+NPV(Faktory!$D$5,'TCO TO BE - HW'!G36:G44)+'TCO TO BE - HW'!G45+NPV(Faktory!$D$5,'TCO TO BE - HW'!G46:G54)+'TCO TO BE - HW'!G55+NPV(Faktory!$D$5,'TCO TO BE - HW'!G56:G64)+'TCO TO BE - HW'!G65+NPV(Faktory!$D$5,'TCO TO BE - HW'!G66:G74)+'TCO TO BE - HW'!G75+NPV(Faktory!$D$5,'TCO TO BE - HW'!G76:G84))</f>
        <v>0</v>
      </c>
      <c r="F12" s="490">
        <f>('TCO TO BE - HW'!H35+NPV(Faktory!$D$5,'TCO TO BE - HW'!H36:H44)+'TCO TO BE - HW'!H45+NPV(Faktory!$D$5,'TCO TO BE - HW'!H46:H54)+'TCO TO BE - HW'!H55+NPV(Faktory!$D$5,'TCO TO BE - HW'!H56:H64)+'TCO TO BE - HW'!H65+NPV(Faktory!$D$5,'TCO TO BE - HW'!H66:H74)+'TCO TO BE - HW'!H75+NPV(Faktory!$D$5,'TCO TO BE - HW'!H76:H84))</f>
        <v>0</v>
      </c>
      <c r="G12" s="490">
        <f>('TCO TO BE - HW'!I35+NPV(Faktory!$D$5,'TCO TO BE - HW'!I36:I44)+'TCO TO BE - HW'!I45+NPV(Faktory!$D$5,'TCO TO BE - HW'!I46:I54)+'TCO TO BE - HW'!I55+NPV(Faktory!$D$5,'TCO TO BE - HW'!I56:I64)+'TCO TO BE - HW'!I65+NPV(Faktory!$D$5,'TCO TO BE - HW'!I66:I74)+'TCO TO BE - HW'!I75+NPV(Faktory!$D$5,'TCO TO BE - HW'!I76:I84))</f>
        <v>0</v>
      </c>
      <c r="H12" s="493" t="s">
        <v>84</v>
      </c>
      <c r="I12" s="492">
        <f t="shared" si="0"/>
        <v>0</v>
      </c>
      <c r="M12" s="325"/>
      <c r="N12" s="326"/>
      <c r="O12" s="327" t="s">
        <v>88</v>
      </c>
      <c r="P12" s="490">
        <f>'TCO TO BE - HW'!F34</f>
        <v>0</v>
      </c>
      <c r="Q12" s="490">
        <f>'TCO TO BE - HW'!G34</f>
        <v>0</v>
      </c>
      <c r="R12" s="490">
        <f>'TCO TO BE - HW'!H34</f>
        <v>0</v>
      </c>
      <c r="S12" s="490">
        <f>'TCO TO BE - HW'!I34</f>
        <v>0</v>
      </c>
      <c r="T12" s="493" t="s">
        <v>84</v>
      </c>
      <c r="U12" s="492">
        <f t="shared" si="1"/>
        <v>0</v>
      </c>
    </row>
    <row r="13" spans="1:21">
      <c r="A13" s="325"/>
      <c r="B13" s="323" t="s">
        <v>90</v>
      </c>
      <c r="C13" s="324"/>
      <c r="D13" s="546">
        <f>'TCO TO BE- SW'!G130+NPV(0.05,'TCO TO BE- SW'!G131:G139)+'TCO TO BE- SW'!G140+NPV(0.05,'TCO TO BE- SW'!G141:G149)</f>
        <v>0</v>
      </c>
      <c r="E13" s="546">
        <f>'TCO TO BE- SW'!H130+NPV(0.05,'TCO TO BE- SW'!H131:H139)+'TCO TO BE- SW'!H140+NPV(0.05,'TCO TO BE- SW'!H141:H149)</f>
        <v>0</v>
      </c>
      <c r="F13" s="546">
        <f>'TCO TO BE- SW'!I130+NPV(0.05,'TCO TO BE- SW'!I131:I139)+'TCO TO BE- SW'!I140+NPV(0.05,'TCO TO BE- SW'!I141:I149)</f>
        <v>0</v>
      </c>
      <c r="G13" s="547">
        <f>'TCO TO BE- SW'!J130+NPV(0.05,'TCO TO BE- SW'!J131:J139)+'TCO TO BE- SW'!J140+NPV(0.05,'TCO TO BE- SW'!J141:J149)</f>
        <v>0</v>
      </c>
      <c r="H13" s="546" t="e">
        <f>'TCO TO BE- SW'!#REF!+NPV(0.05,'TCO TO BE- SW'!#REF!)+'TCO TO BE- SW'!#REF!+NPV(0.05,'TCO TO BE- SW'!#REF!)</f>
        <v>#REF!</v>
      </c>
      <c r="I13" s="489" t="e">
        <f>SUM(D13:H13)</f>
        <v>#REF!</v>
      </c>
      <c r="M13" s="325"/>
      <c r="N13" s="323" t="s">
        <v>90</v>
      </c>
      <c r="O13" s="324"/>
      <c r="P13" s="546">
        <f>'TCO TO BE- SW'!G129</f>
        <v>0</v>
      </c>
      <c r="Q13" s="546">
        <f>'TCO TO BE- SW'!H129</f>
        <v>0</v>
      </c>
      <c r="R13" s="546">
        <f>'TCO TO BE- SW'!I129</f>
        <v>0</v>
      </c>
      <c r="S13" s="547">
        <f>'TCO TO BE- SW'!J129</f>
        <v>0</v>
      </c>
      <c r="T13" s="546" t="e">
        <f>'TCO TO BE- SW'!#REF!</f>
        <v>#REF!</v>
      </c>
      <c r="U13" s="489" t="e">
        <f>SUM(P13:T13)</f>
        <v>#REF!</v>
      </c>
    </row>
    <row r="14" spans="1:21">
      <c r="A14" s="325"/>
      <c r="B14" s="323" t="s">
        <v>91</v>
      </c>
      <c r="C14" s="324"/>
      <c r="D14" s="546">
        <f>'TCO TO BE- SW'!G151+NPV(0.05,'TCO TO BE- SW'!G152:G160)+'TCO TO BE- SW'!G161+NPV(0.05,'TCO TO BE- SW'!G162:G170)</f>
        <v>0</v>
      </c>
      <c r="E14" s="546">
        <f>'TCO TO BE- SW'!H151+NPV(0.05,'TCO TO BE- SW'!H152:H160)+'TCO TO BE- SW'!H161+NPV(0.05,'TCO TO BE- SW'!H162:H170)</f>
        <v>0</v>
      </c>
      <c r="F14" s="546">
        <f>'TCO TO BE- SW'!I151+NPV(0.05,'TCO TO BE- SW'!I152:I160)+'TCO TO BE- SW'!I161+NPV(0.05,'TCO TO BE- SW'!I162:I170)</f>
        <v>0</v>
      </c>
      <c r="G14" s="547">
        <f>'TCO TO BE- SW'!J151+NPV(0.05,'TCO TO BE- SW'!J152:J160)+'TCO TO BE- SW'!J161+NPV(0.05,'TCO TO BE- SW'!J162:J170)</f>
        <v>0</v>
      </c>
      <c r="H14" s="546" t="e">
        <f>'TCO TO BE- SW'!#REF!+NPV(0.05,'TCO TO BE- SW'!#REF!)+'TCO TO BE- SW'!#REF!+NPV(0.05,'TCO TO BE- SW'!#REF!)</f>
        <v>#REF!</v>
      </c>
      <c r="I14" s="489" t="e">
        <f>SUM(D14:H14)</f>
        <v>#REF!</v>
      </c>
      <c r="M14" s="325"/>
      <c r="N14" s="323" t="s">
        <v>91</v>
      </c>
      <c r="O14" s="324"/>
      <c r="P14" s="546">
        <f>'TCO TO BE- SW'!G150</f>
        <v>0</v>
      </c>
      <c r="Q14" s="546">
        <f>'TCO TO BE- SW'!H150</f>
        <v>0</v>
      </c>
      <c r="R14" s="546">
        <f>'TCO TO BE- SW'!I150</f>
        <v>0</v>
      </c>
      <c r="S14" s="547">
        <f>'TCO TO BE- SW'!J150</f>
        <v>0</v>
      </c>
      <c r="T14" s="546" t="e">
        <f>'TCO TO BE- SW'!#REF!</f>
        <v>#REF!</v>
      </c>
      <c r="U14" s="489" t="e">
        <f>SUM(P14:T14)</f>
        <v>#REF!</v>
      </c>
    </row>
    <row r="15" spans="1:21">
      <c r="A15" s="317" t="s">
        <v>38</v>
      </c>
      <c r="B15" s="318"/>
      <c r="C15" s="319"/>
      <c r="D15" s="484">
        <f>D16+D19</f>
        <v>22603996.191673771</v>
      </c>
      <c r="E15" s="484">
        <f>E16+E19</f>
        <v>4145010.1007454386</v>
      </c>
      <c r="F15" s="484">
        <f>F16+F19</f>
        <v>240709.42284018069</v>
      </c>
      <c r="G15" s="485">
        <f>G16+G19</f>
        <v>121279.03720395129</v>
      </c>
      <c r="H15" s="545" t="s">
        <v>84</v>
      </c>
      <c r="I15" s="486">
        <f t="shared" si="0"/>
        <v>27110994.752463344</v>
      </c>
      <c r="M15" s="317" t="s">
        <v>38</v>
      </c>
      <c r="N15" s="318"/>
      <c r="O15" s="319"/>
      <c r="P15" s="320">
        <f>P16+P19</f>
        <v>50205569.460082754</v>
      </c>
      <c r="Q15" s="320">
        <f>Q16+Q19</f>
        <v>7992492.8971034484</v>
      </c>
      <c r="R15" s="320">
        <f>R16+R19</f>
        <v>326463.57980689651</v>
      </c>
      <c r="S15" s="321">
        <f>S16+S19</f>
        <v>213476.3587266207</v>
      </c>
      <c r="T15" s="545" t="s">
        <v>84</v>
      </c>
      <c r="U15" s="473">
        <f t="shared" si="1"/>
        <v>58738002.29571972</v>
      </c>
    </row>
    <row r="16" spans="1:21">
      <c r="A16" s="322"/>
      <c r="B16" s="323" t="s">
        <v>92</v>
      </c>
      <c r="C16" s="324"/>
      <c r="D16" s="487">
        <f>D17+D18</f>
        <v>0</v>
      </c>
      <c r="E16" s="487">
        <f>E17+E18</f>
        <v>0</v>
      </c>
      <c r="F16" s="487">
        <f>F17+F18</f>
        <v>0</v>
      </c>
      <c r="G16" s="488">
        <f>G17+G18</f>
        <v>0</v>
      </c>
      <c r="H16" s="543" t="s">
        <v>84</v>
      </c>
      <c r="I16" s="489">
        <f t="shared" si="0"/>
        <v>0</v>
      </c>
      <c r="M16" s="322"/>
      <c r="N16" s="323" t="s">
        <v>92</v>
      </c>
      <c r="O16" s="324"/>
      <c r="P16" s="487">
        <f>P17+P18</f>
        <v>0</v>
      </c>
      <c r="Q16" s="487">
        <f>Q17+Q18</f>
        <v>0</v>
      </c>
      <c r="R16" s="487">
        <f>R17+R18</f>
        <v>0</v>
      </c>
      <c r="S16" s="488">
        <f>S17+S18</f>
        <v>0</v>
      </c>
      <c r="T16" s="543" t="s">
        <v>84</v>
      </c>
      <c r="U16" s="489">
        <f t="shared" si="1"/>
        <v>0</v>
      </c>
    </row>
    <row r="17" spans="1:22">
      <c r="A17" s="325"/>
      <c r="B17" s="326"/>
      <c r="C17" s="327" t="s">
        <v>93</v>
      </c>
      <c r="D17" s="490">
        <f>'Parametre - Agendové IS'!I117+NPV(Faktory!$D$3,'Parametre - Agendové IS'!I118:I126)</f>
        <v>0</v>
      </c>
      <c r="E17" s="490">
        <f>'Parametre - Agendové IS'!L117+NPV(Faktory!$D$3,'Parametre - Agendové IS'!L118:L126)</f>
        <v>0</v>
      </c>
      <c r="F17" s="490">
        <f>'Parametre - Agendové IS'!O117+NPV(Faktory!$D$3,'Parametre - Agendové IS'!O118:O126)</f>
        <v>0</v>
      </c>
      <c r="G17" s="491">
        <f>'Parametre - Agendové IS'!AY117+NPV(Faktory!$D$3,'Parametre - Agendové IS'!AY118:AY126)</f>
        <v>0</v>
      </c>
      <c r="H17" s="493" t="s">
        <v>84</v>
      </c>
      <c r="I17" s="492">
        <f t="shared" si="0"/>
        <v>0</v>
      </c>
      <c r="M17" s="325"/>
      <c r="N17" s="326"/>
      <c r="O17" s="327" t="s">
        <v>93</v>
      </c>
      <c r="P17" s="490">
        <f>SUM('Parametre - Agendové IS'!I117:I126)</f>
        <v>0</v>
      </c>
      <c r="Q17" s="490">
        <f>SUM('Parametre - Agendové IS'!L117:L126)</f>
        <v>0</v>
      </c>
      <c r="R17" s="490">
        <f>SUM('Parametre - Agendové IS'!O117:O126)</f>
        <v>0</v>
      </c>
      <c r="S17" s="491">
        <f>SUM('Parametre - Agendové IS'!AY117:AY126)</f>
        <v>0</v>
      </c>
      <c r="T17" s="493" t="s">
        <v>84</v>
      </c>
      <c r="U17" s="492">
        <f t="shared" si="1"/>
        <v>0</v>
      </c>
    </row>
    <row r="18" spans="1:22">
      <c r="A18" s="325"/>
      <c r="B18" s="326"/>
      <c r="C18" s="327" t="s">
        <v>94</v>
      </c>
      <c r="D18" s="490"/>
      <c r="E18" s="490"/>
      <c r="F18" s="490"/>
      <c r="G18" s="491"/>
      <c r="H18" s="493" t="s">
        <v>84</v>
      </c>
      <c r="I18" s="492">
        <f>'Prínosy - Agendové IS'!G15</f>
        <v>0</v>
      </c>
      <c r="J18" s="474"/>
      <c r="M18" s="325"/>
      <c r="N18" s="326"/>
      <c r="O18" s="327" t="s">
        <v>94</v>
      </c>
      <c r="P18" s="490"/>
      <c r="Q18" s="490"/>
      <c r="R18" s="490"/>
      <c r="S18" s="491"/>
      <c r="T18" s="493" t="s">
        <v>84</v>
      </c>
      <c r="U18" s="492">
        <f>'Prínosy - Agendové IS'!G14</f>
        <v>0</v>
      </c>
      <c r="V18" s="474"/>
    </row>
    <row r="19" spans="1:22">
      <c r="A19" s="322"/>
      <c r="B19" s="323" t="s">
        <v>95</v>
      </c>
      <c r="C19" s="324"/>
      <c r="D19" s="487">
        <f>D20+D21+D23</f>
        <v>22603996.191673771</v>
      </c>
      <c r="E19" s="487">
        <f>E20+E21+E23</f>
        <v>4145010.1007454386</v>
      </c>
      <c r="F19" s="487">
        <f>F20+F21+F23</f>
        <v>240709.42284018069</v>
      </c>
      <c r="G19" s="488">
        <f>G20+G21+G23</f>
        <v>121279.03720395129</v>
      </c>
      <c r="H19" s="543" t="s">
        <v>84</v>
      </c>
      <c r="I19" s="489">
        <f>SUM(D19:G19)</f>
        <v>27110994.752463344</v>
      </c>
      <c r="M19" s="322"/>
      <c r="N19" s="323" t="s">
        <v>95</v>
      </c>
      <c r="O19" s="324"/>
      <c r="P19" s="487">
        <f>P20+P21+P23</f>
        <v>50205569.460082754</v>
      </c>
      <c r="Q19" s="487">
        <f>Q20+Q21+Q23</f>
        <v>7992492.8971034484</v>
      </c>
      <c r="R19" s="487">
        <f>R20+R21+R23</f>
        <v>326463.57980689651</v>
      </c>
      <c r="S19" s="488">
        <f>S20+S21+S23</f>
        <v>213476.3587266207</v>
      </c>
      <c r="T19" s="543" t="s">
        <v>84</v>
      </c>
      <c r="U19" s="489">
        <f t="shared" si="1"/>
        <v>58738002.29571972</v>
      </c>
    </row>
    <row r="20" spans="1:22">
      <c r="A20" s="325"/>
      <c r="B20" s="326"/>
      <c r="C20" s="327" t="s">
        <v>96</v>
      </c>
      <c r="D20" s="490">
        <f>'Parametre - Agendové IS'!I97+'Parametre - Agendové IS'!L97+'Parametre - Agendové IS'!O97+NPV(Faktory!$D$5,'Parametre - Agendové IS'!I98:I106,'Parametre - Agendové IS'!L98:L106,'Parametre - Agendové IS'!O98:O106)</f>
        <v>0</v>
      </c>
      <c r="E20" s="490">
        <f>'Parametre - Agendové IS'!R97+'Parametre - Agendové IS'!U97+NPV(Faktory!$D$5,'Parametre - Agendové IS'!R98:R106,'Parametre - Agendové IS'!U98:U106)</f>
        <v>0</v>
      </c>
      <c r="F20" s="490">
        <f>'Parametre - Agendové IS'!X97+'Parametre - Agendové IS'!AA97+NPV(Faktory!$D$5,'Parametre - Agendové IS'!X98:X106,'Parametre - Agendové IS'!AA98:AA106)</f>
        <v>0</v>
      </c>
      <c r="G20" s="491">
        <f>'Parametre - Agendové IS'!AD97+'Parametre - Agendové IS'!AG97+'Parametre - Agendové IS'!AJ97+'Parametre - Agendové IS'!AM97+'Parametre - Agendové IS'!AP97+'Parametre - Agendové IS'!AS97+'Parametre - Agendové IS'!AV97+'Parametre - Agendové IS'!AY97+NPV(Faktory!$D$5,'Parametre - Agendové IS'!AD98:AD106,'Parametre - Agendové IS'!AG98:AG106,'Parametre - Agendové IS'!AJ98:AJ106,'Parametre - Agendové IS'!AM98:AM106,'Parametre - Agendové IS'!AP98:AP106,'Parametre - Agendové IS'!AS98:AS106,'Parametre - Agendové IS'!AV98:AV106,'Parametre - Agendové IS'!AY98:AY106)</f>
        <v>0</v>
      </c>
      <c r="H20" s="493" t="s">
        <v>84</v>
      </c>
      <c r="I20" s="492">
        <f>SUM(D20:G20)</f>
        <v>0</v>
      </c>
      <c r="M20" s="325"/>
      <c r="N20" s="326"/>
      <c r="O20" s="327" t="s">
        <v>96</v>
      </c>
      <c r="P20" s="490">
        <f>SUM('Parametre - Agendové IS'!I97:I106)+SUM('Parametre - Agendové IS'!L97:L106)+SUM('Parametre - Agendové IS'!O97:O106)</f>
        <v>0</v>
      </c>
      <c r="Q20" s="490">
        <f>SUM('Parametre - Agendové IS'!R97:R106)+SUM('Parametre - Agendové IS'!U97:U106)</f>
        <v>0</v>
      </c>
      <c r="R20" s="490">
        <f>SUM('Parametre - Agendové IS'!X97:X106)+SUM('Parametre - Agendové IS'!AA97:AA106)</f>
        <v>0</v>
      </c>
      <c r="S20" s="491">
        <f>SUM('Parametre - Agendové IS'!AD97:AD106)+SUM('Parametre - Agendové IS'!AG97:AG106)+SUM('Parametre - Agendové IS'!AJ97:AJ106)+SUM('Parametre - Agendové IS'!AM97:AM106)+SUM('Parametre - Agendové IS'!AP97:AP106)+SUM('Parametre - Agendové IS'!AS97:AS106)+SUM('Parametre - Agendové IS'!AV97:AV106)+SUM('Parametre - Agendové IS'!AY97:AY106)</f>
        <v>0</v>
      </c>
      <c r="T20" s="493" t="s">
        <v>84</v>
      </c>
      <c r="U20" s="492">
        <f t="shared" si="1"/>
        <v>0</v>
      </c>
    </row>
    <row r="21" spans="1:22">
      <c r="A21" s="325"/>
      <c r="B21" s="326"/>
      <c r="C21" s="327" t="s">
        <v>97</v>
      </c>
      <c r="D21" s="490">
        <f>-('Parametre - Agendové IS'!I77+'Parametre - Agendové IS'!L77+'Parametre - Agendové IS'!O77+NPV(Faktory!$D$5,'Parametre - Agendové IS'!I78:I86,'Parametre - Agendové IS'!L78:L86,'Parametre - Agendové IS'!O78:O86))</f>
        <v>22603996.191673771</v>
      </c>
      <c r="E21" s="490">
        <f>-('Parametre - Agendové IS'!R77+'Parametre - Agendové IS'!U77+NPV(Faktory!$D$5,'Parametre - Agendové IS'!R78:R86,'Parametre - Agendové IS'!U78:U86))</f>
        <v>4145010.1007454386</v>
      </c>
      <c r="F21" s="490">
        <f>-('Parametre - Agendové IS'!X77+'Parametre - Agendové IS'!AA77+NPV(Faktory!$D$5,'Parametre - Agendové IS'!X78:X86,'Parametre - Agendové IS'!AA78:AA86))</f>
        <v>240709.42284018069</v>
      </c>
      <c r="G21" s="491">
        <f>-('Parametre - Agendové IS'!AD77+'Parametre - Agendové IS'!AG87+'Parametre - Agendové IS'!AJ87+'Parametre - Agendové IS'!AM87+'Parametre - Agendové IS'!AP87+'Parametre - Agendové IS'!AS87+'Parametre - Agendové IS'!AV87+'Parametre - Agendové IS'!AY87+NPV(Faktory!$D$5,'Parametre - Agendové IS'!AD78:AD86,'Parametre - Agendové IS'!AG78:AG86,'Parametre - Agendové IS'!AJ78:AJ86,'Parametre - Agendové IS'!AM78:AM86,'Parametre - Agendové IS'!AP78:AP86,'Parametre - Agendové IS'!AS78:AS86,'Parametre - Agendové IS'!AV78:AV86,'Parametre - Agendové IS'!AY78:AY86))</f>
        <v>121279.03720395129</v>
      </c>
      <c r="H21" s="493" t="s">
        <v>84</v>
      </c>
      <c r="I21" s="492">
        <f>SUM(D21:G21)</f>
        <v>27110994.752463344</v>
      </c>
      <c r="M21" s="325"/>
      <c r="N21" s="326"/>
      <c r="O21" s="327" t="s">
        <v>97</v>
      </c>
      <c r="P21" s="490">
        <f>-(SUM('Parametre - Agendové IS'!I77:I86)+SUM('Parametre - Agendové IS'!L77:L86)+SUM('Parametre - Agendové IS'!O77:O86))</f>
        <v>50205569.460082754</v>
      </c>
      <c r="Q21" s="490">
        <f>-(SUM('Parametre - Agendové IS'!R77:R86)+SUM('Parametre - Agendové IS'!U77:U86))</f>
        <v>7992492.8971034484</v>
      </c>
      <c r="R21" s="490">
        <f>-(SUM('Parametre - Agendové IS'!X77:X86)+SUM('Parametre - Agendové IS'!AA77:AA86))</f>
        <v>326463.57980689651</v>
      </c>
      <c r="S21" s="491">
        <f>-(SUM('Parametre - Agendové IS'!AD77:AD86)+SUM('Parametre - Agendové IS'!AG77:AG86)+SUM('Parametre - Agendové IS'!AJ77:AJ86)+SUM('Parametre - Agendové IS'!AM77:AM86)+SUM('Parametre - Agendové IS'!AP77:AP86)+SUM('Parametre - Agendové IS'!AS77:AS86)+SUM('Parametre - Agendové IS'!AV77:AV86)+SUM('Parametre - Agendové IS'!AY77:AY86))</f>
        <v>213476.3587266207</v>
      </c>
      <c r="T21" s="493" t="s">
        <v>84</v>
      </c>
      <c r="U21" s="492">
        <f t="shared" si="1"/>
        <v>58738002.29571972</v>
      </c>
    </row>
    <row r="22" spans="1:22">
      <c r="A22" s="325"/>
      <c r="B22" s="326"/>
      <c r="C22" s="327" t="s">
        <v>98</v>
      </c>
      <c r="D22" s="493" t="s">
        <v>84</v>
      </c>
      <c r="E22" s="493" t="s">
        <v>84</v>
      </c>
      <c r="F22" s="493" t="s">
        <v>84</v>
      </c>
      <c r="G22" s="494" t="s">
        <v>84</v>
      </c>
      <c r="H22" s="493" t="s">
        <v>84</v>
      </c>
      <c r="I22" s="495" t="s">
        <v>84</v>
      </c>
      <c r="M22" s="325"/>
      <c r="N22" s="326"/>
      <c r="O22" s="327" t="s">
        <v>98</v>
      </c>
      <c r="P22" s="490">
        <f>SUM('Parametre - Agendové IS'!I87:I96)+SUM('Parametre - Agendové IS'!L87:L96)+SUM('Parametre - Agendové IS'!O87:O96)</f>
        <v>-2637.8958730158729</v>
      </c>
      <c r="Q22" s="490">
        <f>SUM('Parametre - Agendové IS'!R87:R96)+SUM('Parametre - Agendové IS'!U87:U96)</f>
        <v>-419.94074074074069</v>
      </c>
      <c r="R22" s="490">
        <f>SUM('Parametre - Agendové IS'!X87:X96)+SUM('Parametre - Agendové IS'!AA87:AA96)</f>
        <v>-17.153015873015867</v>
      </c>
      <c r="S22" s="491">
        <f>SUM('Parametre - Agendové IS'!AD87:AD96)+SUM('Parametre - Agendové IS'!AG87:AG96)+SUM('Parametre - Agendové IS'!AJ87:AJ96)+SUM('Parametre - Agendové IS'!AM87:AM96)+SUM('Parametre - Agendové IS'!AP87:AP96)+SUM('Parametre - Agendové IS'!AS87:AS96)+SUM('Parametre - Agendové IS'!AV87:AV96)+SUM('Parametre - Agendové IS'!AY87:AY96)</f>
        <v>-11.216452910052913</v>
      </c>
      <c r="T22" s="493" t="s">
        <v>84</v>
      </c>
      <c r="U22" s="492">
        <f t="shared" si="1"/>
        <v>-3086.206082539682</v>
      </c>
    </row>
    <row r="23" spans="1:22" ht="16" thickBot="1">
      <c r="A23" s="328"/>
      <c r="B23" s="329"/>
      <c r="C23" s="330" t="s">
        <v>99</v>
      </c>
      <c r="D23" s="496">
        <f>'Parametre - Agendové IS'!I127+'Parametre - Agendové IS'!L127+'Parametre - Agendové IS'!O127+NPV(Faktory!$D$5,'Parametre - Agendové IS'!I128:I136,'Parametre - Agendové IS'!L128:L136,'Parametre - Agendové IS'!O128:O136)</f>
        <v>0</v>
      </c>
      <c r="E23" s="496">
        <f>'Parametre - Agendové IS'!R127+'Parametre - Agendové IS'!U127+NPV(Faktory!$D$5,'Parametre - Agendové IS'!R128:R136,'Parametre - Agendové IS'!U128:U136)</f>
        <v>0</v>
      </c>
      <c r="F23" s="496">
        <f>'Parametre - Agendové IS'!X127+'Parametre - Agendové IS'!AA127+NPV(Faktory!$D$5,'Parametre - Agendové IS'!X128:X136,'Parametre - Agendové IS'!AA128:AA136)</f>
        <v>0</v>
      </c>
      <c r="G23" s="497">
        <f>'Parametre - Agendové IS'!AD127+'Parametre - Agendové IS'!AG127+'Parametre - Agendové IS'!AJ127+'Parametre - Agendové IS'!AM127+'Parametre - Agendové IS'!AP127+'Parametre - Agendové IS'!AS127+'Parametre - Agendové IS'!AV127+'Parametre - Agendové IS'!AY127+NPV(Faktory!$D$5,'Parametre - Agendové IS'!AD128:AD136,'Parametre - Agendové IS'!AG128:AG136,'Parametre - Agendové IS'!AJ128:AJ136,'Parametre - Agendové IS'!AM128:AM136,'Parametre - Agendové IS'!AP128:AP136,'Parametre - Agendové IS'!AS128:AS136,'Parametre - Agendové IS'!AV128:AV136,'Parametre - Agendové IS'!AY128:AY136)</f>
        <v>0</v>
      </c>
      <c r="H23" s="544" t="s">
        <v>84</v>
      </c>
      <c r="I23" s="498">
        <f>SUM(D23:G23)</f>
        <v>0</v>
      </c>
      <c r="M23" s="325"/>
      <c r="N23" s="326"/>
      <c r="O23" s="327" t="s">
        <v>99</v>
      </c>
      <c r="P23" s="490">
        <f>SUM('Parametre - Agendové IS'!I127:I136)+SUM('Parametre - Agendové IS'!L127:L136)+SUM('Parametre - Agendové IS'!O127:O136)</f>
        <v>0</v>
      </c>
      <c r="Q23" s="490">
        <f>SUM('Parametre - Agendové IS'!R127:R136)+SUM('Parametre - Agendové IS'!U127:U136)</f>
        <v>0</v>
      </c>
      <c r="R23" s="490">
        <f>SUM('Parametre - Agendové IS'!X127:X136)+SUM('Parametre - Agendové IS'!AA127:AA136)</f>
        <v>0</v>
      </c>
      <c r="S23" s="491">
        <f>SUM('Parametre - Agendové IS'!AD127:AD136)+SUM('Parametre - Agendové IS'!AG127:AG136)+SUM('Parametre - Agendové IS'!AJ127:AJ136)+SUM('Parametre - Agendové IS'!AM127:AM136)+SUM('Parametre - Agendové IS'!AP127:AP136)+SUM('Parametre - Agendové IS'!AS127:AS136)+SUM('Parametre - Agendové IS'!AV127:AV136)+SUM('Parametre - Agendové IS'!AY127:AY136)</f>
        <v>0</v>
      </c>
      <c r="T23" s="544" t="s">
        <v>84</v>
      </c>
      <c r="U23" s="499">
        <f t="shared" si="1"/>
        <v>0</v>
      </c>
    </row>
    <row r="24" spans="1:22">
      <c r="A24" s="322"/>
      <c r="B24" s="323" t="s">
        <v>100</v>
      </c>
      <c r="C24" s="324"/>
      <c r="D24" s="541"/>
      <c r="E24" s="542"/>
      <c r="F24" s="542"/>
      <c r="G24" s="542"/>
      <c r="H24" s="548"/>
      <c r="I24" s="549"/>
      <c r="M24" s="322"/>
      <c r="N24" s="323" t="s">
        <v>100</v>
      </c>
      <c r="O24" s="324"/>
      <c r="P24" s="541"/>
      <c r="Q24" s="542"/>
      <c r="R24" s="542"/>
      <c r="S24" s="542"/>
      <c r="T24" s="548"/>
      <c r="U24" s="549"/>
    </row>
    <row r="25" spans="1:22">
      <c r="A25" s="475"/>
      <c r="B25" s="476"/>
      <c r="C25" s="277" t="s">
        <v>101</v>
      </c>
      <c r="M25" s="475"/>
      <c r="N25" s="476"/>
      <c r="O25" s="277" t="s">
        <v>101</v>
      </c>
    </row>
    <row r="26" spans="1:22">
      <c r="A26" s="475"/>
      <c r="B26" s="476"/>
      <c r="C26" s="277" t="s">
        <v>102</v>
      </c>
      <c r="M26" s="475"/>
      <c r="N26" s="476"/>
      <c r="O26" s="277" t="s">
        <v>102</v>
      </c>
    </row>
    <row r="27" spans="1:22">
      <c r="A27" s="475"/>
      <c r="B27" s="476"/>
      <c r="C27" s="277" t="s">
        <v>102</v>
      </c>
      <c r="M27" s="475"/>
      <c r="N27" s="476"/>
      <c r="O27" s="277" t="s">
        <v>102</v>
      </c>
    </row>
  </sheetData>
  <sheetProtection insertColumns="0" insertRows="0" deleteColumns="0" deleteRows="0"/>
  <mergeCells count="4">
    <mergeCell ref="M1:O1"/>
    <mergeCell ref="A1:C1"/>
    <mergeCell ref="M2:O2"/>
    <mergeCell ref="A2:C2"/>
  </mergeCells>
  <pageMargins left="0.7" right="0.7" top="0.75" bottom="0.75" header="0.3" footer="0.3"/>
  <pageSetup paperSize="9" scale="53" orientation="portrait" r:id="rId1"/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2"/>
  <sheetViews>
    <sheetView zoomScaleNormal="100" zoomScaleSheetLayoutView="100" workbookViewId="0">
      <selection activeCell="J22" sqref="J22"/>
    </sheetView>
  </sheetViews>
  <sheetFormatPr baseColWidth="10" defaultColWidth="8.83203125" defaultRowHeight="15"/>
  <cols>
    <col min="1" max="1" width="9.33203125" customWidth="1"/>
    <col min="2" max="2" width="15" customWidth="1"/>
    <col min="3" max="3" width="15.1640625" customWidth="1"/>
    <col min="4" max="4" width="14.1640625" customWidth="1"/>
    <col min="5" max="5" width="14.5" customWidth="1"/>
    <col min="6" max="6" width="15.1640625" customWidth="1"/>
    <col min="7" max="7" width="13.6640625" customWidth="1"/>
    <col min="8" max="8" width="9.83203125" customWidth="1"/>
    <col min="9" max="9" width="22.6640625" customWidth="1"/>
    <col min="10" max="10" width="22.1640625" customWidth="1"/>
    <col min="11" max="11" width="20.5" customWidth="1"/>
    <col min="12" max="12" width="23.1640625" customWidth="1"/>
  </cols>
  <sheetData>
    <row r="1" spans="1:12" ht="16" thickBot="1">
      <c r="A1" s="8"/>
      <c r="B1" s="760" t="s">
        <v>103</v>
      </c>
      <c r="C1" s="761"/>
      <c r="D1" s="761"/>
      <c r="E1" s="761"/>
      <c r="F1" s="761"/>
      <c r="G1" s="762"/>
      <c r="H1" s="763" t="s">
        <v>104</v>
      </c>
      <c r="I1" s="764"/>
      <c r="J1" s="764"/>
      <c r="K1" s="764"/>
      <c r="L1" s="765"/>
    </row>
    <row r="2" spans="1:12" ht="32">
      <c r="A2" s="9"/>
      <c r="B2" s="763" t="s">
        <v>105</v>
      </c>
      <c r="C2" s="764"/>
      <c r="D2" s="765"/>
      <c r="E2" s="763" t="s">
        <v>106</v>
      </c>
      <c r="F2" s="764"/>
      <c r="G2" s="765"/>
      <c r="H2" s="53" t="s">
        <v>107</v>
      </c>
      <c r="I2" s="48" t="s">
        <v>108</v>
      </c>
      <c r="J2" s="11" t="s">
        <v>109</v>
      </c>
      <c r="K2" s="766" t="s">
        <v>110</v>
      </c>
      <c r="L2" s="767"/>
    </row>
    <row r="3" spans="1:12" ht="17" thickBot="1">
      <c r="A3" s="10" t="s">
        <v>111</v>
      </c>
      <c r="B3" s="13" t="s">
        <v>112</v>
      </c>
      <c r="C3" s="14" t="s">
        <v>113</v>
      </c>
      <c r="D3" s="15" t="s">
        <v>114</v>
      </c>
      <c r="E3" s="13" t="s">
        <v>112</v>
      </c>
      <c r="F3" s="14" t="s">
        <v>113</v>
      </c>
      <c r="G3" s="15" t="s">
        <v>114</v>
      </c>
      <c r="H3" s="54"/>
      <c r="I3" s="49"/>
      <c r="J3" s="12"/>
      <c r="K3" s="758"/>
      <c r="L3" s="759"/>
    </row>
    <row r="4" spans="1:12" ht="16">
      <c r="A4" s="47" t="s">
        <v>115</v>
      </c>
      <c r="B4" s="26">
        <f>'Prínosy - Agendové IS'!Q4-'Výdavky - Agendové IS'!T4</f>
        <v>-1342055.57</v>
      </c>
      <c r="C4" s="25">
        <f>'Prínosy - Agendové IS'!R4-'Výdavky - Agendové IS'!U4</f>
        <v>-4221253.4960752688</v>
      </c>
      <c r="D4" s="33">
        <f>C4-B4</f>
        <v>-2879197.9260752685</v>
      </c>
      <c r="E4" s="26">
        <f>'Prínosy - Agendové IS'!T4-('Výdavky - Agendové IS'!T4/1.2)</f>
        <v>-8505218.2404175624</v>
      </c>
      <c r="F4" s="26">
        <f>'Prínosy - Agendové IS'!U4-('Výdavky - Agendové IS'!U4/1.2)</f>
        <v>-10904549.845480286</v>
      </c>
      <c r="G4" s="33">
        <f t="shared" ref="G4:G13" si="0">F4-E4</f>
        <v>-2399331.6050627232</v>
      </c>
      <c r="H4" s="55">
        <v>0</v>
      </c>
      <c r="I4" s="50">
        <f>D4*(1/(1+Faktory!$D$3)^H4)</f>
        <v>-2879197.9260752685</v>
      </c>
      <c r="J4" s="57">
        <f>G4*(1/(1+Faktory!$D$5)^H4)</f>
        <v>-2399331.6050627232</v>
      </c>
      <c r="K4" s="56">
        <f>J4</f>
        <v>-2399331.6050627232</v>
      </c>
      <c r="L4" s="30" t="str">
        <f>IF(K4&gt;0,"Rok návratu investície","&lt;")</f>
        <v>&lt;</v>
      </c>
    </row>
    <row r="5" spans="1:12" ht="16">
      <c r="A5" s="32" t="s">
        <v>116</v>
      </c>
      <c r="B5" s="26">
        <f>'Prínosy - Agendové IS'!Q5-'Výdavky - Agendové IS'!T5</f>
        <v>-1342055.57</v>
      </c>
      <c r="C5" s="25">
        <f>'Prínosy - Agendové IS'!R5-'Výdavky - Agendové IS'!U5</f>
        <v>-5278280.6869354844</v>
      </c>
      <c r="D5" s="28">
        <f t="shared" ref="D5:D13" si="1">C5-B5</f>
        <v>-3936225.1169354841</v>
      </c>
      <c r="E5" s="26">
        <f>'Prínosy - Agendové IS'!T5-('Výdavky - Agendové IS'!T5/1.2)</f>
        <v>-8505218.2404175624</v>
      </c>
      <c r="F5" s="26">
        <f>'Prínosy - Agendové IS'!U5-('Výdavky - Agendové IS'!U5/1.2)</f>
        <v>-11785405.837863799</v>
      </c>
      <c r="G5" s="28">
        <f t="shared" si="0"/>
        <v>-3280187.5974462368</v>
      </c>
      <c r="H5" s="55">
        <v>1</v>
      </c>
      <c r="I5" s="51">
        <f>D5*(1/(1+Faktory!$D$3)^H5)</f>
        <v>-3784831.8432071959</v>
      </c>
      <c r="J5" s="58">
        <f>G5*(1/(1+Faktory!$D$5)^H5)</f>
        <v>-3123988.1880440349</v>
      </c>
      <c r="K5" s="56">
        <f>J5+K4</f>
        <v>-5523319.793106758</v>
      </c>
      <c r="L5" s="30" t="str">
        <f>IF(L4="&lt;",IF(K5&gt;0,"Rok návratu investície","&lt;"),"&gt;")</f>
        <v>&lt;</v>
      </c>
    </row>
    <row r="6" spans="1:12" ht="16">
      <c r="A6" s="32" t="s">
        <v>117</v>
      </c>
      <c r="B6" s="26">
        <f>'Prínosy - Agendové IS'!Q6-'Výdavky - Agendové IS'!T6</f>
        <v>-1342055.57</v>
      </c>
      <c r="C6" s="25">
        <f>'Prínosy - Agendové IS'!R6-'Výdavky - Agendové IS'!U6</f>
        <v>-2061718.6</v>
      </c>
      <c r="D6" s="28">
        <f t="shared" si="1"/>
        <v>-719663.03</v>
      </c>
      <c r="E6" s="26">
        <f>'Prínosy - Agendové IS'!T6-('Výdavky - Agendové IS'!T6/1.2)</f>
        <v>-8505218.2404175624</v>
      </c>
      <c r="F6" s="26">
        <f>'Prínosy - Agendové IS'!U6-('Výdavky - Agendové IS'!U6/1.2)</f>
        <v>-1762687.1451192645</v>
      </c>
      <c r="G6" s="28">
        <f t="shared" si="0"/>
        <v>6742531.0952982977</v>
      </c>
      <c r="H6" s="55">
        <v>2</v>
      </c>
      <c r="I6" s="51">
        <f>D6*(1/(1+Faktory!$D$3)^H6)</f>
        <v>-665368.92566568044</v>
      </c>
      <c r="J6" s="58">
        <f>G6*(1/(1+Faktory!$D$5)^H6)</f>
        <v>6115674.462855598</v>
      </c>
      <c r="K6" s="56">
        <f t="shared" ref="K6:K13" si="2">J6+K5</f>
        <v>592354.66974883992</v>
      </c>
      <c r="L6" s="30" t="str">
        <f t="shared" ref="L6:L13" si="3">IF(L5="&lt;",IF(K6&gt;0,"Rok návratu investície","&lt;"),"&gt;")</f>
        <v>Rok návratu investície</v>
      </c>
    </row>
    <row r="7" spans="1:12" ht="16">
      <c r="A7" s="32" t="s">
        <v>118</v>
      </c>
      <c r="B7" s="26">
        <f>'Prínosy - Agendové IS'!Q7-'Výdavky - Agendové IS'!T7</f>
        <v>-1342055.57</v>
      </c>
      <c r="C7" s="25">
        <f>'Prínosy - Agendové IS'!R7-'Výdavky - Agendové IS'!U7</f>
        <v>-2061718.6</v>
      </c>
      <c r="D7" s="28">
        <f t="shared" si="1"/>
        <v>-719663.03</v>
      </c>
      <c r="E7" s="26">
        <f>'Prínosy - Agendové IS'!T7-('Výdavky - Agendové IS'!T7/1.2)</f>
        <v>-8505218.2404175624</v>
      </c>
      <c r="F7" s="26">
        <f>'Prínosy - Agendové IS'!U7-('Výdavky - Agendové IS'!U7/1.2)</f>
        <v>-1762687.1451192645</v>
      </c>
      <c r="G7" s="28">
        <f t="shared" si="0"/>
        <v>6742531.0952982977</v>
      </c>
      <c r="H7" s="55">
        <v>3</v>
      </c>
      <c r="I7" s="51">
        <f>D7*(1/(1+Faktory!$D$3)^H7)</f>
        <v>-639777.8131400774</v>
      </c>
      <c r="J7" s="58">
        <f>G7*(1/(1+Faktory!$D$5)^H7)</f>
        <v>5824451.8693862837</v>
      </c>
      <c r="K7" s="56">
        <f t="shared" si="2"/>
        <v>6416806.5391351236</v>
      </c>
      <c r="L7" s="30" t="str">
        <f t="shared" si="3"/>
        <v>&gt;</v>
      </c>
    </row>
    <row r="8" spans="1:12" ht="16">
      <c r="A8" s="32" t="s">
        <v>119</v>
      </c>
      <c r="B8" s="26">
        <f>'Prínosy - Agendové IS'!Q8-'Výdavky - Agendové IS'!T8</f>
        <v>-1342055.57</v>
      </c>
      <c r="C8" s="25">
        <f>'Prínosy - Agendové IS'!R8-'Výdavky - Agendové IS'!U8</f>
        <v>-2061718.6</v>
      </c>
      <c r="D8" s="28">
        <f t="shared" si="1"/>
        <v>-719663.03</v>
      </c>
      <c r="E8" s="26">
        <f>'Prínosy - Agendové IS'!T8-('Výdavky - Agendové IS'!T8/1.2)</f>
        <v>-8505218.2404175624</v>
      </c>
      <c r="F8" s="26">
        <f>'Prínosy - Agendové IS'!U8-('Výdavky - Agendové IS'!U8/1.2)</f>
        <v>-1762687.1451192645</v>
      </c>
      <c r="G8" s="28">
        <f t="shared" si="0"/>
        <v>6742531.0952982977</v>
      </c>
      <c r="H8" s="55">
        <v>4</v>
      </c>
      <c r="I8" s="51">
        <f>D8*(1/(1+Faktory!$D$3)^H8)</f>
        <v>-615170.97417315131</v>
      </c>
      <c r="J8" s="58">
        <f>G8*(1/(1+Faktory!$D$5)^H8)</f>
        <v>5547097.0184631282</v>
      </c>
      <c r="K8" s="56">
        <f t="shared" si="2"/>
        <v>11963903.557598252</v>
      </c>
      <c r="L8" s="30" t="str">
        <f t="shared" si="3"/>
        <v>&gt;</v>
      </c>
    </row>
    <row r="9" spans="1:12" ht="16">
      <c r="A9" s="32" t="s">
        <v>120</v>
      </c>
      <c r="B9" s="26">
        <f>'Prínosy - Agendové IS'!Q9-'Výdavky - Agendové IS'!T9</f>
        <v>-1342055.57</v>
      </c>
      <c r="C9" s="25">
        <f>'Prínosy - Agendové IS'!R9-'Výdavky - Agendové IS'!U9</f>
        <v>-2061718.6</v>
      </c>
      <c r="D9" s="28">
        <f t="shared" si="1"/>
        <v>-719663.03</v>
      </c>
      <c r="E9" s="26">
        <f>'Prínosy - Agendové IS'!T9-('Výdavky - Agendové IS'!T9/1.2)</f>
        <v>-8505218.2404175624</v>
      </c>
      <c r="F9" s="26">
        <f>'Prínosy - Agendové IS'!U9-('Výdavky - Agendové IS'!U9/1.2)</f>
        <v>-1762687.1451192645</v>
      </c>
      <c r="G9" s="28">
        <f t="shared" si="0"/>
        <v>6742531.0952982977</v>
      </c>
      <c r="H9" s="55">
        <v>5</v>
      </c>
      <c r="I9" s="51">
        <f>D9*(1/(1+Faktory!$D$3)^H9)</f>
        <v>-591510.55208956846</v>
      </c>
      <c r="J9" s="58">
        <f>G9*(1/(1+Faktory!$D$5)^H9)</f>
        <v>5282949.5413934551</v>
      </c>
      <c r="K9" s="56">
        <f t="shared" si="2"/>
        <v>17246853.098991707</v>
      </c>
      <c r="L9" s="30" t="str">
        <f t="shared" si="3"/>
        <v>&gt;</v>
      </c>
    </row>
    <row r="10" spans="1:12" ht="16">
      <c r="A10" s="32" t="s">
        <v>121</v>
      </c>
      <c r="B10" s="26">
        <f>'Prínosy - Agendové IS'!Q10-'Výdavky - Agendové IS'!T10</f>
        <v>-1342055.57</v>
      </c>
      <c r="C10" s="25">
        <f>'Prínosy - Agendové IS'!R10-'Výdavky - Agendové IS'!U10</f>
        <v>-2061718.6</v>
      </c>
      <c r="D10" s="28">
        <f t="shared" si="1"/>
        <v>-719663.03</v>
      </c>
      <c r="E10" s="26">
        <f>'Prínosy - Agendové IS'!T10-('Výdavky - Agendové IS'!T10/1.2)</f>
        <v>-8505218.2404175624</v>
      </c>
      <c r="F10" s="26">
        <f>'Prínosy - Agendové IS'!U10-('Výdavky - Agendové IS'!U10/1.2)</f>
        <v>-1762687.1451192645</v>
      </c>
      <c r="G10" s="28">
        <f t="shared" si="0"/>
        <v>6742531.0952982977</v>
      </c>
      <c r="H10" s="55">
        <v>6</v>
      </c>
      <c r="I10" s="51">
        <f>D10*(1/(1+Faktory!$D$3)^H10)</f>
        <v>-568760.14623996965</v>
      </c>
      <c r="J10" s="58">
        <f>G10*(1/(1+Faktory!$D$5)^H10)</f>
        <v>5031380.5156128146</v>
      </c>
      <c r="K10" s="56">
        <f t="shared" si="2"/>
        <v>22278233.614604522</v>
      </c>
      <c r="L10" s="30" t="str">
        <f t="shared" si="3"/>
        <v>&gt;</v>
      </c>
    </row>
    <row r="11" spans="1:12" ht="16">
      <c r="A11" s="32" t="s">
        <v>122</v>
      </c>
      <c r="B11" s="26">
        <f>'Prínosy - Agendové IS'!Q11-'Výdavky - Agendové IS'!T11</f>
        <v>-1342055.57</v>
      </c>
      <c r="C11" s="25">
        <f>'Prínosy - Agendové IS'!R11-'Výdavky - Agendové IS'!U11</f>
        <v>-2061718.6</v>
      </c>
      <c r="D11" s="28">
        <f t="shared" si="1"/>
        <v>-719663.03</v>
      </c>
      <c r="E11" s="26">
        <f>'Prínosy - Agendové IS'!T11-('Výdavky - Agendové IS'!T11/1.2)</f>
        <v>-8505218.2404175624</v>
      </c>
      <c r="F11" s="26">
        <f>'Prínosy - Agendové IS'!U11-('Výdavky - Agendové IS'!U11/1.2)</f>
        <v>-1762687.1451192645</v>
      </c>
      <c r="G11" s="28">
        <f t="shared" si="0"/>
        <v>6742531.0952982977</v>
      </c>
      <c r="H11" s="55">
        <v>7</v>
      </c>
      <c r="I11" s="51">
        <f>D11*(1/(1+Faktory!$D$3)^H11)</f>
        <v>-546884.75599997095</v>
      </c>
      <c r="J11" s="58">
        <f>G11*(1/(1+Faktory!$D$5)^H11)</f>
        <v>4791790.9672502987</v>
      </c>
      <c r="K11" s="56">
        <f t="shared" si="2"/>
        <v>27070024.58185482</v>
      </c>
      <c r="L11" s="30" t="str">
        <f t="shared" si="3"/>
        <v>&gt;</v>
      </c>
    </row>
    <row r="12" spans="1:12" ht="16">
      <c r="A12" s="32" t="s">
        <v>123</v>
      </c>
      <c r="B12" s="26">
        <f>'Prínosy - Agendové IS'!Q12-'Výdavky - Agendové IS'!T12</f>
        <v>-1342055.57</v>
      </c>
      <c r="C12" s="25">
        <f>'Prínosy - Agendové IS'!R12-'Výdavky - Agendové IS'!U12</f>
        <v>-2061718.6</v>
      </c>
      <c r="D12" s="28">
        <f t="shared" si="1"/>
        <v>-719663.03</v>
      </c>
      <c r="E12" s="26">
        <f>'Prínosy - Agendové IS'!T12-('Výdavky - Agendové IS'!T12/1.2)</f>
        <v>-8505218.2404175624</v>
      </c>
      <c r="F12" s="26">
        <f>'Prínosy - Agendové IS'!U12-('Výdavky - Agendové IS'!U12/1.2)</f>
        <v>-1762687.1451192645</v>
      </c>
      <c r="G12" s="28">
        <f t="shared" si="0"/>
        <v>6742531.0952982977</v>
      </c>
      <c r="H12" s="55">
        <v>8</v>
      </c>
      <c r="I12" s="51">
        <f>D12*(1/(1+Faktory!$D$3)^H12)</f>
        <v>-525850.72692304885</v>
      </c>
      <c r="J12" s="58">
        <f>G12*(1/(1+Faktory!$D$5)^H12)</f>
        <v>4563610.4450002853</v>
      </c>
      <c r="K12" s="56">
        <f t="shared" si="2"/>
        <v>31633635.026855104</v>
      </c>
      <c r="L12" s="30" t="str">
        <f t="shared" si="3"/>
        <v>&gt;</v>
      </c>
    </row>
    <row r="13" spans="1:12" ht="17" thickBot="1">
      <c r="A13" s="32" t="s">
        <v>124</v>
      </c>
      <c r="B13" s="46">
        <f>'Prínosy - Agendové IS'!Q13-'Výdavky - Agendové IS'!T13</f>
        <v>-1342055.57</v>
      </c>
      <c r="C13" s="42">
        <f>'Prínosy - Agendové IS'!R13-'Výdavky - Agendové IS'!U13</f>
        <v>-2061718.6</v>
      </c>
      <c r="D13" s="34">
        <f t="shared" si="1"/>
        <v>-719663.03</v>
      </c>
      <c r="E13" s="26">
        <f>'Prínosy - Agendové IS'!T13-('Výdavky - Agendové IS'!T13/1.2)</f>
        <v>-8505218.2404175624</v>
      </c>
      <c r="F13" s="26">
        <f>'Prínosy - Agendové IS'!U13-('Výdavky - Agendové IS'!U13/1.2)</f>
        <v>-1762687.1451192645</v>
      </c>
      <c r="G13" s="34">
        <f t="shared" si="0"/>
        <v>6742531.0952982977</v>
      </c>
      <c r="H13" s="55">
        <v>9</v>
      </c>
      <c r="I13" s="52">
        <f>D13*(1/(1+Faktory!$D$3)^H13)</f>
        <v>-505625.69896446995</v>
      </c>
      <c r="J13" s="59">
        <f>G13*(1/(1+Faktory!$D$5)^H13)</f>
        <v>4346295.6619050335</v>
      </c>
      <c r="K13" s="56">
        <f t="shared" si="2"/>
        <v>35979930.688760139</v>
      </c>
      <c r="L13" s="30" t="str">
        <f t="shared" si="3"/>
        <v>&gt;</v>
      </c>
    </row>
    <row r="14" spans="1:12" ht="16" thickBot="1">
      <c r="A14" s="61" t="s">
        <v>125</v>
      </c>
      <c r="B14" s="43">
        <f t="shared" ref="B14:G14" si="4">SUM(B4:B13)</f>
        <v>-13420555.700000001</v>
      </c>
      <c r="C14" s="44">
        <f t="shared" si="4"/>
        <v>-25993282.983010758</v>
      </c>
      <c r="D14" s="44">
        <f t="shared" si="4"/>
        <v>-12572727.283010749</v>
      </c>
      <c r="E14" s="44">
        <f t="shared" si="4"/>
        <v>-85052182.404175639</v>
      </c>
      <c r="F14" s="44">
        <f t="shared" si="4"/>
        <v>-36791452.844298199</v>
      </c>
      <c r="G14" s="45">
        <f t="shared" si="4"/>
        <v>48260729.559877425</v>
      </c>
      <c r="H14" s="62" t="s">
        <v>125</v>
      </c>
      <c r="I14" s="165">
        <f>SUM(I4:I13)</f>
        <v>-11322979.3624784</v>
      </c>
      <c r="J14" s="166">
        <f>SUM(J4:J13)</f>
        <v>35979930.688760139</v>
      </c>
      <c r="K14" s="651"/>
      <c r="L14" s="651"/>
    </row>
    <row r="16" spans="1:12" ht="16" thickBot="1">
      <c r="H16" s="102" t="s">
        <v>126</v>
      </c>
      <c r="J16" s="176" t="s">
        <v>127</v>
      </c>
      <c r="K16" s="176" t="s">
        <v>128</v>
      </c>
    </row>
    <row r="17" spans="5:11" s="135" customFormat="1" ht="16" thickBot="1">
      <c r="H17" s="170" t="s">
        <v>129</v>
      </c>
      <c r="I17" s="172" t="s">
        <v>130</v>
      </c>
      <c r="J17" s="173">
        <f>'Prínosy - Agendové IS'!V15/('Výdavky - Agendové IS'!V15/1.2)</f>
        <v>4.9045571358623814</v>
      </c>
      <c r="K17" s="177">
        <v>1</v>
      </c>
    </row>
    <row r="18" spans="5:11" s="135" customFormat="1" ht="14" thickBot="1">
      <c r="H18" s="171" t="s">
        <v>131</v>
      </c>
      <c r="I18" s="172" t="s">
        <v>132</v>
      </c>
      <c r="J18" s="174" t="s">
        <v>133</v>
      </c>
      <c r="K18" s="178" t="s">
        <v>134</v>
      </c>
    </row>
    <row r="19" spans="5:11" s="135" customFormat="1" ht="25" thickBot="1">
      <c r="E19" s="167"/>
      <c r="H19" s="171" t="s">
        <v>135</v>
      </c>
      <c r="I19" s="172" t="s">
        <v>136</v>
      </c>
      <c r="J19" s="174">
        <f>IRR($G$4:$G$13,0.01)</f>
        <v>0.86379948163285758</v>
      </c>
      <c r="K19" s="178">
        <v>0.05</v>
      </c>
    </row>
    <row r="20" spans="5:11" ht="16" thickBot="1">
      <c r="H20" s="168"/>
      <c r="I20" s="169"/>
      <c r="J20" s="168"/>
      <c r="K20" s="179"/>
    </row>
    <row r="21" spans="5:11" s="135" customFormat="1" ht="25" thickBot="1">
      <c r="H21" s="171" t="s">
        <v>137</v>
      </c>
      <c r="I21" s="172" t="s">
        <v>138</v>
      </c>
      <c r="J21" s="175">
        <f>I14</f>
        <v>-11322979.3624784</v>
      </c>
      <c r="K21" s="180" t="s">
        <v>134</v>
      </c>
    </row>
    <row r="22" spans="5:11" s="135" customFormat="1" ht="25" thickBot="1">
      <c r="H22" s="171" t="s">
        <v>139</v>
      </c>
      <c r="I22" s="172" t="s">
        <v>140</v>
      </c>
      <c r="J22" s="175">
        <f>J14</f>
        <v>35979930.688760139</v>
      </c>
      <c r="K22" s="180">
        <v>0</v>
      </c>
    </row>
  </sheetData>
  <mergeCells count="6">
    <mergeCell ref="K3:L3"/>
    <mergeCell ref="B1:G1"/>
    <mergeCell ref="H1:L1"/>
    <mergeCell ref="B2:D2"/>
    <mergeCell ref="E2:G2"/>
    <mergeCell ref="K2:L2"/>
  </mergeCells>
  <conditionalFormatting sqref="L4:L13">
    <cfRule type="cellIs" dxfId="0" priority="1" stopIfTrue="1" operator="equal">
      <formula>"Rok návratu investície"</formula>
    </cfRule>
  </conditionalFormatting>
  <pageMargins left="0.7" right="0.7" top="0.75" bottom="0.75" header="0.3" footer="0.3"/>
  <pageSetup paperSize="9" scale="44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3"/>
  <sheetViews>
    <sheetView zoomScaleNormal="100" zoomScaleSheetLayoutView="100" workbookViewId="0"/>
  </sheetViews>
  <sheetFormatPr baseColWidth="10" defaultColWidth="8.83203125" defaultRowHeight="15"/>
  <cols>
    <col min="1" max="1" width="7.83203125" style="60" customWidth="1"/>
    <col min="2" max="2" width="12.6640625" style="60" customWidth="1"/>
    <col min="3" max="3" width="14" style="60" customWidth="1"/>
    <col min="4" max="4" width="9.5" style="60" customWidth="1"/>
    <col min="5" max="5" width="11.83203125" style="60" customWidth="1"/>
    <col min="6" max="6" width="11.6640625" style="60" customWidth="1"/>
    <col min="7" max="7" width="9.6640625" customWidth="1"/>
    <col min="8" max="8" width="11.5" customWidth="1"/>
    <col min="9" max="9" width="10.83203125" customWidth="1"/>
    <col min="10" max="10" width="9.5" customWidth="1"/>
    <col min="11" max="11" width="12.6640625" customWidth="1"/>
    <col min="12" max="12" width="11.5" customWidth="1"/>
    <col min="13" max="13" width="10.5" customWidth="1"/>
    <col min="14" max="14" width="13.33203125" customWidth="1"/>
    <col min="15" max="15" width="11.33203125" customWidth="1"/>
    <col min="16" max="16" width="9.6640625" customWidth="1"/>
    <col min="17" max="17" width="14.6640625" customWidth="1"/>
    <col min="18" max="18" width="15.6640625" customWidth="1"/>
  </cols>
  <sheetData>
    <row r="2" spans="1:18" ht="16">
      <c r="A2" s="206" t="s">
        <v>129</v>
      </c>
      <c r="B2" s="207">
        <f>'CBA - Agendové IS'!J17</f>
        <v>4.9045571358623814</v>
      </c>
    </row>
    <row r="5" spans="1:18" ht="30" customHeight="1">
      <c r="B5" s="776" t="s">
        <v>141</v>
      </c>
      <c r="C5" s="777"/>
      <c r="D5" s="214"/>
      <c r="E5" s="776" t="s">
        <v>142</v>
      </c>
      <c r="F5" s="777"/>
      <c r="H5" s="774" t="s">
        <v>143</v>
      </c>
      <c r="I5" s="775"/>
      <c r="J5" s="60"/>
      <c r="K5" s="776" t="s">
        <v>144</v>
      </c>
      <c r="L5" s="777"/>
      <c r="N5" s="774" t="s">
        <v>145</v>
      </c>
      <c r="O5" s="775"/>
      <c r="Q5" s="774" t="s">
        <v>146</v>
      </c>
      <c r="R5" s="775"/>
    </row>
    <row r="6" spans="1:18" ht="16">
      <c r="B6" s="209" t="s">
        <v>147</v>
      </c>
      <c r="C6" s="208" t="s">
        <v>129</v>
      </c>
      <c r="D6" s="215"/>
      <c r="E6" s="209" t="s">
        <v>147</v>
      </c>
      <c r="F6" s="208" t="s">
        <v>129</v>
      </c>
      <c r="H6" s="209" t="s">
        <v>147</v>
      </c>
      <c r="I6" s="208" t="s">
        <v>129</v>
      </c>
      <c r="J6" s="60"/>
      <c r="K6" s="209" t="s">
        <v>147</v>
      </c>
      <c r="L6" s="208" t="s">
        <v>129</v>
      </c>
      <c r="N6" s="210" t="s">
        <v>147</v>
      </c>
      <c r="O6" s="211" t="s">
        <v>129</v>
      </c>
      <c r="Q6" s="210" t="s">
        <v>147</v>
      </c>
      <c r="R6" s="211" t="s">
        <v>129</v>
      </c>
    </row>
    <row r="7" spans="1:18" ht="15" customHeight="1">
      <c r="B7" s="202">
        <v>0</v>
      </c>
      <c r="C7" s="194">
        <f>B2</f>
        <v>4.9045571358623814</v>
      </c>
      <c r="D7" s="212"/>
      <c r="E7" s="202">
        <v>0</v>
      </c>
      <c r="F7" s="194">
        <f>B2</f>
        <v>4.9045571358623814</v>
      </c>
      <c r="H7" s="202">
        <v>0</v>
      </c>
      <c r="I7" s="194">
        <f>B2</f>
        <v>4.9045571358623814</v>
      </c>
      <c r="J7" s="60"/>
      <c r="K7" s="202">
        <v>0</v>
      </c>
      <c r="L7" s="194">
        <f>B2</f>
        <v>4.9045571358623814</v>
      </c>
      <c r="N7" s="204">
        <v>0</v>
      </c>
      <c r="O7" s="196">
        <f>B2</f>
        <v>4.9045571358623814</v>
      </c>
      <c r="Q7" s="204">
        <v>0</v>
      </c>
      <c r="R7" s="196">
        <f>B2</f>
        <v>4.9045571358623814</v>
      </c>
    </row>
    <row r="8" spans="1:18">
      <c r="B8" s="202">
        <v>0.1</v>
      </c>
      <c r="C8" s="198">
        <f t="dataTable" ref="C8:C17" dt2D="0" dtr="0" r1="B7"/>
        <v>4.0951831897654412</v>
      </c>
      <c r="D8" s="213"/>
      <c r="E8" s="202">
        <v>0.1</v>
      </c>
      <c r="F8" s="198">
        <f t="dataTable" ref="F8:F17" dt2D="0" dtr="0" r1="E7" ca="1"/>
        <v>4.6440249079593485</v>
      </c>
      <c r="H8" s="202">
        <v>-0.1</v>
      </c>
      <c r="I8" s="198">
        <f t="dataTable" ref="I8:I17" dt2D="0" dtr="0" r1="H7" ca="1"/>
        <v>4.9045571358623814</v>
      </c>
      <c r="J8" s="60"/>
      <c r="K8" s="202">
        <v>-0.1</v>
      </c>
      <c r="L8" s="198">
        <f t="dataTable" ref="L8:L17" dt2D="0" dtr="0" r1="K7" ca="1"/>
        <v>5.0640429066920163</v>
      </c>
      <c r="N8" s="204">
        <v>-0.1</v>
      </c>
      <c r="O8" s="200">
        <f t="dataTable" ref="O8:O17" dt2D="0" dtr="0" r1="N7" ca="1"/>
        <v>4.4141014222761443</v>
      </c>
      <c r="Q8" s="204">
        <v>-0.1</v>
      </c>
      <c r="R8" s="200">
        <f t="dataTable" ref="R8:R17" dt2D="0" dtr="0" r1="Q7" ca="1"/>
        <v>4.9045571358623814</v>
      </c>
    </row>
    <row r="9" spans="1:18">
      <c r="A9" s="197"/>
      <c r="B9" s="202">
        <v>0.2</v>
      </c>
      <c r="C9" s="198">
        <v>3.5151036384465013</v>
      </c>
      <c r="D9" s="213"/>
      <c r="E9" s="202">
        <v>0.2</v>
      </c>
      <c r="F9" s="198">
        <v>4.4097756877627452</v>
      </c>
      <c r="H9" s="202">
        <v>-0.2</v>
      </c>
      <c r="I9" s="198">
        <v>4.9045571358623814</v>
      </c>
      <c r="J9" s="60"/>
      <c r="K9" s="202">
        <v>-0.2</v>
      </c>
      <c r="L9" s="198">
        <v>5.2235286775216547</v>
      </c>
      <c r="N9" s="204">
        <v>-0.2</v>
      </c>
      <c r="O9" s="200">
        <v>3.9236457086899055</v>
      </c>
      <c r="Q9" s="204">
        <v>-0.2</v>
      </c>
      <c r="R9" s="200">
        <v>4.9045571358623814</v>
      </c>
    </row>
    <row r="10" spans="1:18">
      <c r="A10" s="197"/>
      <c r="B10" s="202">
        <v>0.3</v>
      </c>
      <c r="C10" s="198">
        <v>3.0789699162684219</v>
      </c>
      <c r="D10" s="213"/>
      <c r="E10" s="202">
        <v>0.3</v>
      </c>
      <c r="F10" s="198">
        <v>4.198023234136107</v>
      </c>
      <c r="H10" s="202">
        <v>-0.3</v>
      </c>
      <c r="I10" s="198">
        <v>4.9045571358623814</v>
      </c>
      <c r="J10" s="60"/>
      <c r="K10" s="202">
        <v>-0.3</v>
      </c>
      <c r="L10" s="198">
        <v>5.3830144483512914</v>
      </c>
      <c r="N10" s="204">
        <v>-0.3</v>
      </c>
      <c r="O10" s="200">
        <v>3.4331899951036666</v>
      </c>
      <c r="Q10" s="204">
        <v>-0.3</v>
      </c>
      <c r="R10" s="200">
        <v>4.9045571358623814</v>
      </c>
    </row>
    <row r="11" spans="1:18">
      <c r="A11" s="197"/>
      <c r="B11" s="202">
        <v>0.4</v>
      </c>
      <c r="C11" s="198">
        <v>2.7391162229827803</v>
      </c>
      <c r="D11" s="213"/>
      <c r="E11" s="202">
        <v>0.4</v>
      </c>
      <c r="F11" s="198">
        <v>4.0056752286682205</v>
      </c>
      <c r="H11" s="202">
        <v>-0.4</v>
      </c>
      <c r="I11" s="198">
        <v>4.9045571358623814</v>
      </c>
      <c r="J11" s="60"/>
      <c r="K11" s="202">
        <v>-0.4</v>
      </c>
      <c r="L11" s="198">
        <v>5.5425002191809272</v>
      </c>
      <c r="N11" s="204">
        <v>-0.4</v>
      </c>
      <c r="O11" s="200">
        <v>2.9427342815174287</v>
      </c>
      <c r="Q11" s="204">
        <v>-0.4</v>
      </c>
      <c r="R11" s="200">
        <v>4.9045571358623814</v>
      </c>
    </row>
    <row r="12" spans="1:18">
      <c r="A12" s="197"/>
      <c r="B12" s="202">
        <v>0.5</v>
      </c>
      <c r="C12" s="198">
        <v>2.4668299423692157</v>
      </c>
      <c r="D12" s="213"/>
      <c r="E12" s="202">
        <v>0.5</v>
      </c>
      <c r="F12" s="198">
        <v>3.8301812672837734</v>
      </c>
      <c r="H12" s="202">
        <v>-0.5</v>
      </c>
      <c r="I12" s="198">
        <v>4.9045571358623814</v>
      </c>
      <c r="J12" s="60"/>
      <c r="K12" s="202">
        <v>-0.5</v>
      </c>
      <c r="L12" s="198">
        <v>5.7019859900105638</v>
      </c>
      <c r="N12" s="204">
        <v>-0.5</v>
      </c>
      <c r="O12" s="200">
        <v>2.4522785679311916</v>
      </c>
      <c r="Q12" s="204">
        <v>-0.5</v>
      </c>
      <c r="R12" s="200">
        <v>4.9045571358623814</v>
      </c>
    </row>
    <row r="13" spans="1:18">
      <c r="A13" s="197"/>
      <c r="B13" s="202">
        <v>0.6</v>
      </c>
      <c r="C13" s="198">
        <v>2.2437830567032404</v>
      </c>
      <c r="D13" s="213"/>
      <c r="E13" s="202">
        <v>0.6</v>
      </c>
      <c r="F13" s="198">
        <v>3.6694191328513091</v>
      </c>
      <c r="H13" s="202">
        <v>-0.6</v>
      </c>
      <c r="I13" s="198">
        <v>4.9045571358623814</v>
      </c>
      <c r="J13" s="60"/>
      <c r="K13" s="202">
        <v>-0.6</v>
      </c>
      <c r="L13" s="198">
        <v>5.8614717608401996</v>
      </c>
      <c r="N13" s="204">
        <v>-0.6</v>
      </c>
      <c r="O13" s="200">
        <v>1.9618228543449527</v>
      </c>
      <c r="Q13" s="204">
        <v>-0.6</v>
      </c>
      <c r="R13" s="200">
        <v>4.9045571358623814</v>
      </c>
    </row>
    <row r="14" spans="1:18">
      <c r="A14" s="193"/>
      <c r="B14" s="202">
        <v>0.7</v>
      </c>
      <c r="C14" s="198">
        <v>2.0577266478403464</v>
      </c>
      <c r="D14" s="213"/>
      <c r="E14" s="202">
        <v>0.7</v>
      </c>
      <c r="F14" s="198">
        <v>3.5216085546128837</v>
      </c>
      <c r="H14" s="202">
        <v>-0.7</v>
      </c>
      <c r="I14" s="198">
        <v>4.9045571358623814</v>
      </c>
      <c r="J14" s="60"/>
      <c r="K14" s="202">
        <v>-0.7</v>
      </c>
      <c r="L14" s="198">
        <v>6.0209575316698363</v>
      </c>
      <c r="N14" s="204">
        <v>-0.7</v>
      </c>
      <c r="O14" s="200">
        <v>1.4713671407587143</v>
      </c>
      <c r="Q14" s="204">
        <v>-0.7</v>
      </c>
      <c r="R14" s="200">
        <v>4.9045571358623814</v>
      </c>
    </row>
    <row r="15" spans="1:18">
      <c r="A15" s="193"/>
      <c r="B15" s="202">
        <v>0.8</v>
      </c>
      <c r="C15" s="198">
        <v>1.900163468896154</v>
      </c>
      <c r="D15" s="213"/>
      <c r="E15" s="202">
        <v>0.8</v>
      </c>
      <c r="F15" s="198">
        <v>3.3852450040320843</v>
      </c>
      <c r="H15" s="202">
        <v>-0.8</v>
      </c>
      <c r="I15" s="198">
        <v>4.9045571358623814</v>
      </c>
      <c r="J15" s="60"/>
      <c r="K15" s="202">
        <v>-0.8</v>
      </c>
      <c r="L15" s="198">
        <v>6.180443302499472</v>
      </c>
      <c r="N15" s="204">
        <v>-0.8</v>
      </c>
      <c r="O15" s="200">
        <v>0.98091142717247515</v>
      </c>
      <c r="Q15" s="204">
        <v>-0.8</v>
      </c>
      <c r="R15" s="200">
        <v>4.9045571358623814</v>
      </c>
    </row>
    <row r="16" spans="1:18">
      <c r="A16" s="193"/>
      <c r="B16" s="202">
        <v>0.9</v>
      </c>
      <c r="C16" s="198">
        <v>1.7650137503117156</v>
      </c>
      <c r="D16" s="213"/>
      <c r="E16" s="202">
        <v>0.9</v>
      </c>
      <c r="F16" s="198">
        <v>3.2590482985732594</v>
      </c>
      <c r="H16" s="202">
        <v>-0.9</v>
      </c>
      <c r="I16" s="198">
        <v>4.9045571358623814</v>
      </c>
      <c r="J16" s="60"/>
      <c r="K16" s="202">
        <v>-0.9</v>
      </c>
      <c r="L16" s="198">
        <v>6.3399290733291096</v>
      </c>
      <c r="N16" s="204">
        <v>-0.9</v>
      </c>
      <c r="O16" s="200">
        <v>0.49045571358623724</v>
      </c>
      <c r="Q16" s="204">
        <v>-0.9</v>
      </c>
      <c r="R16" s="200">
        <v>4.9045571358623814</v>
      </c>
    </row>
    <row r="17" spans="1:18">
      <c r="A17" s="193"/>
      <c r="B17" s="203">
        <v>1</v>
      </c>
      <c r="C17" s="199">
        <v>1.6478125681449691</v>
      </c>
      <c r="D17" s="213"/>
      <c r="E17" s="203">
        <v>1</v>
      </c>
      <c r="F17" s="199">
        <v>3.1419222881657665</v>
      </c>
      <c r="H17" s="203">
        <v>-1</v>
      </c>
      <c r="I17" s="199">
        <v>4.9045571358623814</v>
      </c>
      <c r="J17" s="60"/>
      <c r="K17" s="203">
        <v>-1</v>
      </c>
      <c r="L17" s="199">
        <v>6.4994148441587463</v>
      </c>
      <c r="N17" s="205">
        <v>-1</v>
      </c>
      <c r="O17" s="201">
        <v>0</v>
      </c>
      <c r="Q17" s="205">
        <v>-1</v>
      </c>
      <c r="R17" s="201">
        <v>4.9045571358623814</v>
      </c>
    </row>
    <row r="18" spans="1:18">
      <c r="A18" s="197"/>
      <c r="N18" s="102"/>
    </row>
    <row r="19" spans="1:18">
      <c r="A19" s="197"/>
    </row>
    <row r="25" spans="1:18" ht="18.75" customHeight="1">
      <c r="D25" s="768" t="s">
        <v>146</v>
      </c>
      <c r="E25" s="769"/>
      <c r="F25" s="769"/>
      <c r="G25" s="769"/>
      <c r="H25" s="769"/>
      <c r="I25" s="769"/>
      <c r="J25" s="769"/>
      <c r="K25" s="769"/>
      <c r="L25" s="769"/>
      <c r="M25" s="769"/>
      <c r="N25" s="770"/>
    </row>
    <row r="26" spans="1:18">
      <c r="C26" s="216">
        <f>B2</f>
        <v>4.9045571358623814</v>
      </c>
      <c r="D26" s="222">
        <v>0</v>
      </c>
      <c r="E26" s="219">
        <v>-0.1</v>
      </c>
      <c r="F26" s="219">
        <v>-0.2</v>
      </c>
      <c r="G26" s="219">
        <v>-0.3</v>
      </c>
      <c r="H26" s="219">
        <v>-0.4</v>
      </c>
      <c r="I26" s="219">
        <v>-0.5</v>
      </c>
      <c r="J26" s="219">
        <v>-0.6</v>
      </c>
      <c r="K26" s="219">
        <v>-0.7</v>
      </c>
      <c r="L26" s="219">
        <v>-0.8</v>
      </c>
      <c r="M26" s="219">
        <v>-0.9</v>
      </c>
      <c r="N26" s="223">
        <v>-1</v>
      </c>
    </row>
    <row r="27" spans="1:18" ht="14.25" customHeight="1">
      <c r="B27" s="771" t="s">
        <v>145</v>
      </c>
      <c r="C27" s="224">
        <v>0</v>
      </c>
      <c r="D27" s="213">
        <f t="dataTable" ref="D27:N37" dt2D="1" dtr="1" r1="Q7" r2="N7" ca="1"/>
        <v>4.9045571358623814</v>
      </c>
      <c r="E27" s="213">
        <v>4.9045571358623814</v>
      </c>
      <c r="F27" s="213">
        <v>4.9045571358623814</v>
      </c>
      <c r="G27" s="218">
        <v>4.9045571358623814</v>
      </c>
      <c r="H27" s="218">
        <v>4.9045571358623814</v>
      </c>
      <c r="I27" s="218">
        <v>4.9045571358623814</v>
      </c>
      <c r="J27" s="218">
        <v>4.9045571358623814</v>
      </c>
      <c r="K27" s="218">
        <v>4.9045571358623814</v>
      </c>
      <c r="L27" s="218">
        <v>4.9045571358623814</v>
      </c>
      <c r="M27" s="218">
        <v>4.9045571358623814</v>
      </c>
      <c r="N27" s="200">
        <v>4.9045571358623814</v>
      </c>
    </row>
    <row r="28" spans="1:18">
      <c r="B28" s="772"/>
      <c r="C28" s="217">
        <v>-0.1</v>
      </c>
      <c r="D28" s="213">
        <v>4.4141014222761443</v>
      </c>
      <c r="E28" s="213">
        <v>4.4141014222761443</v>
      </c>
      <c r="F28" s="213">
        <v>4.4141014222761443</v>
      </c>
      <c r="G28" s="218">
        <v>4.4141014222761443</v>
      </c>
      <c r="H28" s="218">
        <v>4.4141014222761443</v>
      </c>
      <c r="I28" s="218">
        <v>4.4141014222761443</v>
      </c>
      <c r="J28" s="218">
        <v>4.4141014222761443</v>
      </c>
      <c r="K28" s="218">
        <v>4.4141014222761443</v>
      </c>
      <c r="L28" s="218">
        <v>4.4141014222761443</v>
      </c>
      <c r="M28" s="218">
        <v>4.4141014222761443</v>
      </c>
      <c r="N28" s="200">
        <v>4.4141014222761443</v>
      </c>
    </row>
    <row r="29" spans="1:18">
      <c r="B29" s="772"/>
      <c r="C29" s="217">
        <v>-0.2</v>
      </c>
      <c r="D29" s="213">
        <v>3.9236457086899055</v>
      </c>
      <c r="E29" s="213">
        <v>3.9236457086899055</v>
      </c>
      <c r="F29" s="213">
        <v>3.9236457086899055</v>
      </c>
      <c r="G29" s="218">
        <v>3.9236457086899055</v>
      </c>
      <c r="H29" s="218">
        <v>3.9236457086899055</v>
      </c>
      <c r="I29" s="218">
        <v>3.9236457086899055</v>
      </c>
      <c r="J29" s="218">
        <v>3.9236457086899055</v>
      </c>
      <c r="K29" s="218">
        <v>3.9236457086899055</v>
      </c>
      <c r="L29" s="218">
        <v>3.9236457086899055</v>
      </c>
      <c r="M29" s="218">
        <v>3.9236457086899055</v>
      </c>
      <c r="N29" s="200">
        <v>3.9236457086899055</v>
      </c>
    </row>
    <row r="30" spans="1:18">
      <c r="B30" s="772"/>
      <c r="C30" s="217">
        <v>-0.3</v>
      </c>
      <c r="D30" s="213">
        <v>3.4331899951036666</v>
      </c>
      <c r="E30" s="213">
        <v>3.4331899951036666</v>
      </c>
      <c r="F30" s="213">
        <v>3.4331899951036666</v>
      </c>
      <c r="G30" s="218">
        <v>3.4331899951036666</v>
      </c>
      <c r="H30" s="218">
        <v>3.4331899951036666</v>
      </c>
      <c r="I30" s="218">
        <v>3.4331899951036666</v>
      </c>
      <c r="J30" s="218">
        <v>3.4331899951036666</v>
      </c>
      <c r="K30" s="218">
        <v>3.4331899951036666</v>
      </c>
      <c r="L30" s="218">
        <v>3.4331899951036666</v>
      </c>
      <c r="M30" s="218">
        <v>3.4331899951036666</v>
      </c>
      <c r="N30" s="200">
        <v>3.4331899951036666</v>
      </c>
    </row>
    <row r="31" spans="1:18">
      <c r="B31" s="772"/>
      <c r="C31" s="217">
        <v>-0.4</v>
      </c>
      <c r="D31" s="213">
        <v>2.9427342815174287</v>
      </c>
      <c r="E31" s="213">
        <v>2.9427342815174287</v>
      </c>
      <c r="F31" s="213">
        <v>2.9427342815174287</v>
      </c>
      <c r="G31" s="218">
        <v>2.9427342815174287</v>
      </c>
      <c r="H31" s="218">
        <v>2.9427342815174287</v>
      </c>
      <c r="I31" s="218">
        <v>2.9427342815174287</v>
      </c>
      <c r="J31" s="218">
        <v>2.9427342815174287</v>
      </c>
      <c r="K31" s="218">
        <v>2.9427342815174287</v>
      </c>
      <c r="L31" s="218">
        <v>2.9427342815174287</v>
      </c>
      <c r="M31" s="218">
        <v>2.9427342815174287</v>
      </c>
      <c r="N31" s="200">
        <v>2.9427342815174287</v>
      </c>
    </row>
    <row r="32" spans="1:18">
      <c r="B32" s="772"/>
      <c r="C32" s="217">
        <v>-0.5</v>
      </c>
      <c r="D32" s="213">
        <v>2.4522785679311916</v>
      </c>
      <c r="E32" s="213">
        <v>2.4522785679311916</v>
      </c>
      <c r="F32" s="213">
        <v>2.4522785679311916</v>
      </c>
      <c r="G32" s="218">
        <v>2.4522785679311916</v>
      </c>
      <c r="H32" s="218">
        <v>2.4522785679311916</v>
      </c>
      <c r="I32" s="218">
        <v>2.4522785679311916</v>
      </c>
      <c r="J32" s="218">
        <v>2.4522785679311916</v>
      </c>
      <c r="K32" s="218">
        <v>2.4522785679311916</v>
      </c>
      <c r="L32" s="218">
        <v>2.4522785679311916</v>
      </c>
      <c r="M32" s="218">
        <v>2.4522785679311916</v>
      </c>
      <c r="N32" s="200">
        <v>2.4522785679311916</v>
      </c>
    </row>
    <row r="33" spans="2:14">
      <c r="B33" s="772"/>
      <c r="C33" s="217">
        <v>-0.6</v>
      </c>
      <c r="D33" s="213">
        <v>1.9618228543449527</v>
      </c>
      <c r="E33" s="213">
        <v>1.9618228543449527</v>
      </c>
      <c r="F33" s="213">
        <v>1.9618228543449527</v>
      </c>
      <c r="G33" s="218">
        <v>1.9618228543449527</v>
      </c>
      <c r="H33" s="218">
        <v>1.9618228543449527</v>
      </c>
      <c r="I33" s="218">
        <v>1.9618228543449527</v>
      </c>
      <c r="J33" s="218">
        <v>1.9618228543449527</v>
      </c>
      <c r="K33" s="218">
        <v>1.9618228543449527</v>
      </c>
      <c r="L33" s="218">
        <v>1.9618228543449527</v>
      </c>
      <c r="M33" s="218">
        <v>1.9618228543449527</v>
      </c>
      <c r="N33" s="200">
        <v>1.9618228543449527</v>
      </c>
    </row>
    <row r="34" spans="2:14">
      <c r="B34" s="772"/>
      <c r="C34" s="217">
        <v>-0.7</v>
      </c>
      <c r="D34" s="213">
        <v>1.4713671407587143</v>
      </c>
      <c r="E34" s="213">
        <v>1.4713671407587143</v>
      </c>
      <c r="F34" s="213">
        <v>1.4713671407587143</v>
      </c>
      <c r="G34" s="218">
        <v>1.4713671407587143</v>
      </c>
      <c r="H34" s="218">
        <v>1.4713671407587143</v>
      </c>
      <c r="I34" s="218">
        <v>1.4713671407587143</v>
      </c>
      <c r="J34" s="218">
        <v>1.4713671407587143</v>
      </c>
      <c r="K34" s="218">
        <v>1.4713671407587143</v>
      </c>
      <c r="L34" s="218">
        <v>1.4713671407587143</v>
      </c>
      <c r="M34" s="218">
        <v>1.4713671407587143</v>
      </c>
      <c r="N34" s="200">
        <v>1.4713671407587143</v>
      </c>
    </row>
    <row r="35" spans="2:14">
      <c r="B35" s="772"/>
      <c r="C35" s="217">
        <v>-0.8</v>
      </c>
      <c r="D35" s="213">
        <v>0.98091142717247515</v>
      </c>
      <c r="E35" s="213">
        <v>0.98091142717247515</v>
      </c>
      <c r="F35" s="213">
        <v>0.98091142717247515</v>
      </c>
      <c r="G35" s="218">
        <v>0.98091142717247515</v>
      </c>
      <c r="H35" s="218">
        <v>0.98091142717247515</v>
      </c>
      <c r="I35" s="218">
        <v>0.98091142717247515</v>
      </c>
      <c r="J35" s="218">
        <v>0.98091142717247515</v>
      </c>
      <c r="K35" s="218">
        <v>0.98091142717247515</v>
      </c>
      <c r="L35" s="218">
        <v>0.98091142717247515</v>
      </c>
      <c r="M35" s="218">
        <v>0.98091142717247515</v>
      </c>
      <c r="N35" s="200">
        <v>0.98091142717247515</v>
      </c>
    </row>
    <row r="36" spans="2:14">
      <c r="B36" s="772"/>
      <c r="C36" s="217">
        <v>-0.9</v>
      </c>
      <c r="D36" s="213">
        <v>0.49045571358623724</v>
      </c>
      <c r="E36" s="213">
        <v>0.49045571358623724</v>
      </c>
      <c r="F36" s="213">
        <v>0.49045571358623724</v>
      </c>
      <c r="G36" s="218">
        <v>0.49045571358623724</v>
      </c>
      <c r="H36" s="218">
        <v>0.49045571358623724</v>
      </c>
      <c r="I36" s="218">
        <v>0.49045571358623724</v>
      </c>
      <c r="J36" s="218">
        <v>0.49045571358623724</v>
      </c>
      <c r="K36" s="218">
        <v>0.49045571358623724</v>
      </c>
      <c r="L36" s="218">
        <v>0.49045571358623724</v>
      </c>
      <c r="M36" s="218">
        <v>0.49045571358623724</v>
      </c>
      <c r="N36" s="200">
        <v>0.49045571358623724</v>
      </c>
    </row>
    <row r="37" spans="2:14">
      <c r="B37" s="773"/>
      <c r="C37" s="223">
        <v>-1</v>
      </c>
      <c r="D37" s="220">
        <v>0</v>
      </c>
      <c r="E37" s="220">
        <v>0</v>
      </c>
      <c r="F37" s="220">
        <v>0</v>
      </c>
      <c r="G37" s="221">
        <v>0</v>
      </c>
      <c r="H37" s="221">
        <v>0</v>
      </c>
      <c r="I37" s="221">
        <v>0</v>
      </c>
      <c r="J37" s="221">
        <v>0</v>
      </c>
      <c r="K37" s="221">
        <v>0</v>
      </c>
      <c r="L37" s="221">
        <v>0</v>
      </c>
      <c r="M37" s="221">
        <v>0</v>
      </c>
      <c r="N37" s="201">
        <v>0</v>
      </c>
    </row>
    <row r="41" spans="2:14">
      <c r="D41" s="768" t="s">
        <v>144</v>
      </c>
      <c r="E41" s="769"/>
      <c r="F41" s="769"/>
      <c r="G41" s="769"/>
      <c r="H41" s="769"/>
      <c r="I41" s="769"/>
      <c r="J41" s="769"/>
      <c r="K41" s="769"/>
      <c r="L41" s="769"/>
      <c r="M41" s="769"/>
      <c r="N41" s="770"/>
    </row>
    <row r="42" spans="2:14">
      <c r="C42" s="216">
        <f>B2</f>
        <v>4.9045571358623814</v>
      </c>
      <c r="D42" s="222">
        <v>0</v>
      </c>
      <c r="E42" s="219">
        <v>-0.1</v>
      </c>
      <c r="F42" s="219">
        <v>-0.2</v>
      </c>
      <c r="G42" s="219">
        <v>-0.3</v>
      </c>
      <c r="H42" s="219">
        <v>-0.4</v>
      </c>
      <c r="I42" s="219">
        <v>-0.5</v>
      </c>
      <c r="J42" s="219">
        <v>-0.6</v>
      </c>
      <c r="K42" s="219">
        <v>-0.7</v>
      </c>
      <c r="L42" s="219">
        <v>-0.8</v>
      </c>
      <c r="M42" s="219">
        <v>-0.9</v>
      </c>
      <c r="N42" s="223">
        <v>-1</v>
      </c>
    </row>
    <row r="43" spans="2:14">
      <c r="B43" s="771" t="s">
        <v>142</v>
      </c>
      <c r="C43" s="224">
        <v>0</v>
      </c>
      <c r="D43" s="213">
        <f t="dataTable" ref="D43:N53" dt2D="1" dtr="1" r1="K7" r2="E7" ca="1"/>
        <v>4.9045571358623814</v>
      </c>
      <c r="E43" s="213">
        <v>5.0640429066920163</v>
      </c>
      <c r="F43" s="213">
        <v>5.2235286775216547</v>
      </c>
      <c r="G43" s="218">
        <v>5.3830144483512914</v>
      </c>
      <c r="H43" s="218">
        <v>5.5425002191809272</v>
      </c>
      <c r="I43" s="218">
        <v>5.7019859900105638</v>
      </c>
      <c r="J43" s="218">
        <v>5.8614717608401996</v>
      </c>
      <c r="K43" s="218">
        <v>6.0209575316698363</v>
      </c>
      <c r="L43" s="218">
        <v>6.180443302499472</v>
      </c>
      <c r="M43" s="218">
        <v>6.3399290733291096</v>
      </c>
      <c r="N43" s="200">
        <v>6.4994148441587463</v>
      </c>
    </row>
    <row r="44" spans="2:14">
      <c r="B44" s="772"/>
      <c r="C44" s="217">
        <v>0.1</v>
      </c>
      <c r="D44" s="213">
        <v>4.6440249079593485</v>
      </c>
      <c r="E44" s="213">
        <v>4.7950387246365374</v>
      </c>
      <c r="F44" s="213">
        <v>4.9460525413137297</v>
      </c>
      <c r="G44" s="218">
        <v>5.0970663579909203</v>
      </c>
      <c r="H44" s="218">
        <v>5.2480801746681101</v>
      </c>
      <c r="I44" s="218">
        <v>5.3990939913453007</v>
      </c>
      <c r="J44" s="218">
        <v>5.5501078080224913</v>
      </c>
      <c r="K44" s="218">
        <v>5.7011216246996819</v>
      </c>
      <c r="L44" s="218">
        <v>5.8521354413768716</v>
      </c>
      <c r="M44" s="218">
        <v>6.0031492580540631</v>
      </c>
      <c r="N44" s="200">
        <v>6.1541630747312537</v>
      </c>
    </row>
    <row r="45" spans="2:14">
      <c r="B45" s="772"/>
      <c r="C45" s="217">
        <v>0.2</v>
      </c>
      <c r="D45" s="213">
        <v>4.4097756877627452</v>
      </c>
      <c r="E45" s="213">
        <v>4.5531722178196761</v>
      </c>
      <c r="F45" s="213">
        <v>4.6965687478766096</v>
      </c>
      <c r="G45" s="218">
        <v>4.8399652779335423</v>
      </c>
      <c r="H45" s="218">
        <v>4.983361807990474</v>
      </c>
      <c r="I45" s="218">
        <v>5.1267583380474067</v>
      </c>
      <c r="J45" s="218">
        <v>5.2701548681043384</v>
      </c>
      <c r="K45" s="218">
        <v>5.4135513981612702</v>
      </c>
      <c r="L45" s="218">
        <v>5.5569479282182019</v>
      </c>
      <c r="M45" s="218">
        <v>5.7003444582751355</v>
      </c>
      <c r="N45" s="200">
        <v>5.8437409883320681</v>
      </c>
    </row>
    <row r="46" spans="2:14">
      <c r="B46" s="772"/>
      <c r="C46" s="217">
        <v>0.3</v>
      </c>
      <c r="D46" s="213">
        <v>4.198023234136107</v>
      </c>
      <c r="E46" s="213">
        <v>4.3345340245928661</v>
      </c>
      <c r="F46" s="213">
        <v>4.4710448150496287</v>
      </c>
      <c r="G46" s="218">
        <v>4.6075556055063895</v>
      </c>
      <c r="H46" s="218">
        <v>4.7440663959631504</v>
      </c>
      <c r="I46" s="218">
        <v>4.8805771864199112</v>
      </c>
      <c r="J46" s="218">
        <v>5.0170879768766712</v>
      </c>
      <c r="K46" s="218">
        <v>5.153598767333432</v>
      </c>
      <c r="L46" s="218">
        <v>5.2901095577901929</v>
      </c>
      <c r="M46" s="218">
        <v>5.4266203482469537</v>
      </c>
      <c r="N46" s="200">
        <v>5.5631311387037155</v>
      </c>
    </row>
    <row r="47" spans="2:14">
      <c r="B47" s="772"/>
      <c r="C47" s="217">
        <v>0.4</v>
      </c>
      <c r="D47" s="213">
        <v>4.0056752286682205</v>
      </c>
      <c r="E47" s="213">
        <v>4.1359312709245204</v>
      </c>
      <c r="F47" s="213">
        <v>4.2661873131808221</v>
      </c>
      <c r="G47" s="218">
        <v>4.3964433554371229</v>
      </c>
      <c r="H47" s="218">
        <v>4.5266993976934238</v>
      </c>
      <c r="I47" s="218">
        <v>4.6569554399497246</v>
      </c>
      <c r="J47" s="218">
        <v>4.7872114822060245</v>
      </c>
      <c r="K47" s="218">
        <v>4.9174675244623254</v>
      </c>
      <c r="L47" s="218">
        <v>5.0477235667186253</v>
      </c>
      <c r="M47" s="218">
        <v>5.177979608974927</v>
      </c>
      <c r="N47" s="200">
        <v>5.3082356512312279</v>
      </c>
    </row>
    <row r="48" spans="2:14">
      <c r="B48" s="772"/>
      <c r="C48" s="217">
        <v>0.5</v>
      </c>
      <c r="D48" s="213">
        <v>3.8301812672837734</v>
      </c>
      <c r="E48" s="213">
        <v>3.954730619021027</v>
      </c>
      <c r="F48" s="213">
        <v>4.0792799707582832</v>
      </c>
      <c r="G48" s="218">
        <v>4.2038293224955385</v>
      </c>
      <c r="H48" s="218">
        <v>4.3283786742327921</v>
      </c>
      <c r="I48" s="218">
        <v>4.4529280259700474</v>
      </c>
      <c r="J48" s="218">
        <v>4.5774773777073019</v>
      </c>
      <c r="K48" s="218">
        <v>4.7020267294445564</v>
      </c>
      <c r="L48" s="218">
        <v>4.8265760811818108</v>
      </c>
      <c r="M48" s="218">
        <v>4.9511254329190661</v>
      </c>
      <c r="N48" s="200">
        <v>5.0756747846563215</v>
      </c>
    </row>
    <row r="49" spans="2:14">
      <c r="B49" s="772"/>
      <c r="C49" s="217">
        <v>0.6</v>
      </c>
      <c r="D49" s="213">
        <v>3.6694191328513091</v>
      </c>
      <c r="E49" s="213">
        <v>3.7887408417617103</v>
      </c>
      <c r="F49" s="213">
        <v>3.9080625506721138</v>
      </c>
      <c r="G49" s="218">
        <v>4.027384259582516</v>
      </c>
      <c r="H49" s="218">
        <v>4.1467059684929177</v>
      </c>
      <c r="I49" s="218">
        <v>4.2660276774033203</v>
      </c>
      <c r="J49" s="218">
        <v>4.3853493863137221</v>
      </c>
      <c r="K49" s="218">
        <v>4.5046710952241247</v>
      </c>
      <c r="L49" s="218">
        <v>4.6239928041345264</v>
      </c>
      <c r="M49" s="218">
        <v>4.743314513044929</v>
      </c>
      <c r="N49" s="200">
        <v>4.8626362219553316</v>
      </c>
    </row>
    <row r="50" spans="2:14">
      <c r="B50" s="772"/>
      <c r="C50" s="217">
        <v>0.7</v>
      </c>
      <c r="D50" s="213">
        <v>3.5216085546128837</v>
      </c>
      <c r="E50" s="213">
        <v>3.6361237777684838</v>
      </c>
      <c r="F50" s="213">
        <v>3.7506390009240866</v>
      </c>
      <c r="G50" s="218">
        <v>3.8651542240796881</v>
      </c>
      <c r="H50" s="218">
        <v>3.9796694472352887</v>
      </c>
      <c r="I50" s="218">
        <v>4.0941846703908906</v>
      </c>
      <c r="J50" s="218">
        <v>4.2086998935464912</v>
      </c>
      <c r="K50" s="218">
        <v>4.3232151167020927</v>
      </c>
      <c r="L50" s="218">
        <v>4.4377303398576933</v>
      </c>
      <c r="M50" s="218">
        <v>4.5522455630132956</v>
      </c>
      <c r="N50" s="200">
        <v>4.6667607861688971</v>
      </c>
    </row>
    <row r="51" spans="2:14">
      <c r="B51" s="772"/>
      <c r="C51" s="217">
        <v>0.8</v>
      </c>
      <c r="D51" s="213">
        <v>3.3852450040320843</v>
      </c>
      <c r="E51" s="213">
        <v>3.4953259744356018</v>
      </c>
      <c r="F51" s="213">
        <v>3.6054069448391215</v>
      </c>
      <c r="G51" s="218">
        <v>3.7154879152426403</v>
      </c>
      <c r="H51" s="218">
        <v>3.8255688856461583</v>
      </c>
      <c r="I51" s="218">
        <v>3.9356498560496771</v>
      </c>
      <c r="J51" s="218">
        <v>4.0457308264531955</v>
      </c>
      <c r="K51" s="218">
        <v>4.1558117968567139</v>
      </c>
      <c r="L51" s="218">
        <v>4.2658927672602323</v>
      </c>
      <c r="M51" s="218">
        <v>4.3759737376637515</v>
      </c>
      <c r="N51" s="200">
        <v>4.4860547080672699</v>
      </c>
    </row>
    <row r="52" spans="2:14">
      <c r="B52" s="772"/>
      <c r="C52" s="217">
        <v>0.9</v>
      </c>
      <c r="D52" s="213">
        <v>3.2590482985732594</v>
      </c>
      <c r="E52" s="213">
        <v>3.3650256204130575</v>
      </c>
      <c r="F52" s="213">
        <v>3.4710029422528579</v>
      </c>
      <c r="G52" s="218">
        <v>3.5769802640926573</v>
      </c>
      <c r="H52" s="218">
        <v>3.6829575859324564</v>
      </c>
      <c r="I52" s="218">
        <v>3.7889349077722554</v>
      </c>
      <c r="J52" s="218">
        <v>3.8949122296120544</v>
      </c>
      <c r="K52" s="218">
        <v>4.0008895514518539</v>
      </c>
      <c r="L52" s="218">
        <v>4.1068668732916525</v>
      </c>
      <c r="M52" s="218">
        <v>4.2128441951314528</v>
      </c>
      <c r="N52" s="200">
        <v>4.3188215169712514</v>
      </c>
    </row>
    <row r="53" spans="2:14">
      <c r="B53" s="773"/>
      <c r="C53" s="223">
        <v>1</v>
      </c>
      <c r="D53" s="220">
        <v>3.1419222881657665</v>
      </c>
      <c r="E53" s="220">
        <v>3.2440909211603581</v>
      </c>
      <c r="F53" s="220">
        <v>3.3462595541549516</v>
      </c>
      <c r="G53" s="221">
        <v>3.4484281871495441</v>
      </c>
      <c r="H53" s="221">
        <v>3.5505968201441358</v>
      </c>
      <c r="I53" s="221">
        <v>3.6527654531387284</v>
      </c>
      <c r="J53" s="221">
        <v>3.75493408613332</v>
      </c>
      <c r="K53" s="221">
        <v>3.8571027191279126</v>
      </c>
      <c r="L53" s="221">
        <v>3.9592713521225047</v>
      </c>
      <c r="M53" s="221">
        <v>4.0614399851170973</v>
      </c>
      <c r="N53" s="201">
        <v>4.1636086181116898</v>
      </c>
    </row>
  </sheetData>
  <sheetProtection algorithmName="SHA-512" hashValue="dqd+ettbIsAQzamG7hohEAWj7LYgqtK4GHeDrc5QXa4Nl9dV9iy4G95/67sKKPulFay1zzDhIR6amoURKm9xxg==" saltValue="Jdn/cjq3bnIHWs2UgDdX4Q==" spinCount="100000" sheet="1" objects="1" scenarios="1"/>
  <mergeCells count="10">
    <mergeCell ref="D25:N25"/>
    <mergeCell ref="B27:B37"/>
    <mergeCell ref="D41:N41"/>
    <mergeCell ref="B43:B53"/>
    <mergeCell ref="Q5:R5"/>
    <mergeCell ref="N5:O5"/>
    <mergeCell ref="K5:L5"/>
    <mergeCell ref="B5:C5"/>
    <mergeCell ref="H5:I5"/>
    <mergeCell ref="E5:F5"/>
  </mergeCells>
  <conditionalFormatting sqref="D27:N37">
    <cfRule type="colorScale" priority="2">
      <colorScale>
        <cfvo type="min"/>
        <cfvo type="num" val="1"/>
        <cfvo type="max"/>
        <color rgb="FFF8696B"/>
        <color rgb="FFFFEB84"/>
        <color rgb="FF63BE7B"/>
      </colorScale>
    </cfRule>
  </conditionalFormatting>
  <conditionalFormatting sqref="D43:N53">
    <cfRule type="colorScale" priority="1">
      <colorScale>
        <cfvo type="min"/>
        <cfvo type="num" val="1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</sheetPr>
  <dimension ref="A1:V38"/>
  <sheetViews>
    <sheetView zoomScaleNormal="100" zoomScaleSheetLayoutView="100" workbookViewId="0">
      <selection activeCell="R5" sqref="R5"/>
    </sheetView>
  </sheetViews>
  <sheetFormatPr baseColWidth="10" defaultColWidth="8.83203125" defaultRowHeight="15"/>
  <cols>
    <col min="1" max="1" width="9.5" customWidth="1"/>
    <col min="2" max="3" width="14.33203125" bestFit="1" customWidth="1"/>
    <col min="4" max="4" width="13.5" customWidth="1"/>
    <col min="5" max="5" width="11.1640625" customWidth="1"/>
    <col min="6" max="6" width="12" customWidth="1"/>
    <col min="8" max="8" width="12" customWidth="1"/>
    <col min="9" max="9" width="14" customWidth="1"/>
    <col min="10" max="10" width="14.83203125" customWidth="1"/>
    <col min="11" max="11" width="13.5" customWidth="1"/>
    <col min="12" max="12" width="13.5" bestFit="1" customWidth="1"/>
    <col min="13" max="16" width="13.83203125" customWidth="1"/>
    <col min="17" max="17" width="14.6640625" customWidth="1"/>
    <col min="18" max="18" width="14" customWidth="1"/>
    <col min="19" max="19" width="14.5" customWidth="1"/>
    <col min="20" max="20" width="14.33203125" bestFit="1" customWidth="1"/>
    <col min="21" max="21" width="13.6640625" customWidth="1"/>
    <col min="22" max="22" width="15.5" customWidth="1"/>
  </cols>
  <sheetData>
    <row r="1" spans="1:22" ht="15.75" customHeight="1" thickBot="1">
      <c r="A1" s="17"/>
      <c r="B1" s="760" t="s">
        <v>148</v>
      </c>
      <c r="C1" s="761"/>
      <c r="D1" s="762"/>
      <c r="E1" s="760" t="s">
        <v>149</v>
      </c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2"/>
      <c r="Q1" s="763" t="s">
        <v>150</v>
      </c>
      <c r="R1" s="764"/>
      <c r="S1" s="764"/>
      <c r="T1" s="764"/>
      <c r="U1" s="764"/>
      <c r="V1" s="765"/>
    </row>
    <row r="2" spans="1:22" ht="24" customHeight="1">
      <c r="A2" s="7"/>
      <c r="B2" s="763" t="s">
        <v>93</v>
      </c>
      <c r="C2" s="764"/>
      <c r="D2" s="765"/>
      <c r="E2" s="778" t="s">
        <v>94</v>
      </c>
      <c r="F2" s="779"/>
      <c r="G2" s="780"/>
      <c r="H2" s="781" t="s">
        <v>151</v>
      </c>
      <c r="I2" s="779"/>
      <c r="J2" s="780"/>
      <c r="K2" s="781" t="s">
        <v>152</v>
      </c>
      <c r="L2" s="779"/>
      <c r="M2" s="780"/>
      <c r="N2" s="781" t="s">
        <v>153</v>
      </c>
      <c r="O2" s="779"/>
      <c r="P2" s="782"/>
      <c r="Q2" s="764" t="s">
        <v>92</v>
      </c>
      <c r="R2" s="764"/>
      <c r="S2" s="765"/>
      <c r="T2" s="764" t="s">
        <v>95</v>
      </c>
      <c r="U2" s="764"/>
      <c r="V2" s="765"/>
    </row>
    <row r="3" spans="1:22" ht="18.5" customHeight="1" thickBot="1">
      <c r="A3" s="18" t="s">
        <v>111</v>
      </c>
      <c r="B3" s="22" t="s">
        <v>112</v>
      </c>
      <c r="C3" s="19" t="s">
        <v>113</v>
      </c>
      <c r="D3" s="23" t="s">
        <v>114</v>
      </c>
      <c r="E3" s="13" t="s">
        <v>112</v>
      </c>
      <c r="F3" s="14" t="s">
        <v>113</v>
      </c>
      <c r="G3" s="21" t="s">
        <v>114</v>
      </c>
      <c r="H3" s="20" t="s">
        <v>112</v>
      </c>
      <c r="I3" s="14" t="s">
        <v>113</v>
      </c>
      <c r="J3" s="21" t="s">
        <v>114</v>
      </c>
      <c r="K3" s="20" t="s">
        <v>112</v>
      </c>
      <c r="L3" s="14" t="s">
        <v>113</v>
      </c>
      <c r="M3" s="21" t="s">
        <v>114</v>
      </c>
      <c r="N3" s="20" t="s">
        <v>112</v>
      </c>
      <c r="O3" s="14" t="s">
        <v>113</v>
      </c>
      <c r="P3" s="15" t="s">
        <v>114</v>
      </c>
      <c r="Q3" s="14" t="s">
        <v>112</v>
      </c>
      <c r="R3" s="14" t="s">
        <v>113</v>
      </c>
      <c r="S3" s="15" t="s">
        <v>114</v>
      </c>
      <c r="T3" s="14" t="s">
        <v>112</v>
      </c>
      <c r="U3" s="14" t="s">
        <v>113</v>
      </c>
      <c r="V3" s="15" t="s">
        <v>114</v>
      </c>
    </row>
    <row r="4" spans="1:22" ht="16">
      <c r="A4" s="31" t="s">
        <v>115</v>
      </c>
      <c r="B4" s="26">
        <f>'Parametre - Agendové IS'!D117</f>
        <v>0</v>
      </c>
      <c r="C4" s="26">
        <f>'Parametre - Agendové IS'!E117</f>
        <v>0</v>
      </c>
      <c r="D4" s="28">
        <f>IF(ISERR(C4-B4),"-",C4-B4)</f>
        <v>0</v>
      </c>
      <c r="E4" s="331"/>
      <c r="F4" s="332"/>
      <c r="G4" s="33">
        <f t="shared" ref="G4:G13" si="0">IF(ISERR(F4-E4),"-",F4-E4)</f>
        <v>0</v>
      </c>
      <c r="H4" s="29">
        <v>0</v>
      </c>
      <c r="I4" s="25">
        <f>'Parametre - Agendové IS'!E97</f>
        <v>0</v>
      </c>
      <c r="J4" s="33">
        <f>IF(ISERR(I4-H4),"-",I4-H4)</f>
        <v>0</v>
      </c>
      <c r="K4" s="26">
        <f>'Parametre - Agendové IS'!D127</f>
        <v>0</v>
      </c>
      <c r="L4" s="26">
        <f>'Parametre - Agendové IS'!E127</f>
        <v>0</v>
      </c>
      <c r="M4" s="28">
        <f>IF(ISERR(L4-K4),"-",L4-K4)</f>
        <v>0</v>
      </c>
      <c r="N4" s="25">
        <f>-'Parametre - Agendové IS'!D77</f>
        <v>-7386838.5987508958</v>
      </c>
      <c r="O4" s="25">
        <f>-'Parametre - Agendové IS'!E77</f>
        <v>-7386838.5987508958</v>
      </c>
      <c r="P4" s="33">
        <f t="shared" ref="P4:P13" si="1">IF(ISERR(O4-N4),"-",O4-N4)</f>
        <v>0</v>
      </c>
      <c r="Q4" s="26">
        <f>SUM(B4,E4)</f>
        <v>0</v>
      </c>
      <c r="R4" s="25">
        <f t="shared" ref="R4:R13" si="2">SUM(C4,F4)</f>
        <v>0</v>
      </c>
      <c r="S4" s="28">
        <f>R4-Q4</f>
        <v>0</v>
      </c>
      <c r="T4" s="26">
        <f>SUM(H4,K4,N4)</f>
        <v>-7386838.5987508958</v>
      </c>
      <c r="U4" s="25">
        <f>SUM(I4,L4,O4)</f>
        <v>-7386838.5987508958</v>
      </c>
      <c r="V4" s="28">
        <f>U4-T4</f>
        <v>0</v>
      </c>
    </row>
    <row r="5" spans="1:22" ht="16">
      <c r="A5" s="32" t="s">
        <v>116</v>
      </c>
      <c r="B5" s="26">
        <f>'Parametre - Agendové IS'!D118</f>
        <v>0</v>
      </c>
      <c r="C5" s="26">
        <f>'Parametre - Agendové IS'!E118</f>
        <v>0</v>
      </c>
      <c r="D5" s="28">
        <f t="shared" ref="D5:D13" si="3">IF(ISERR(C5-B5),"-",C5-B5)</f>
        <v>0</v>
      </c>
      <c r="E5" s="331"/>
      <c r="F5" s="332"/>
      <c r="G5" s="28">
        <f t="shared" si="0"/>
        <v>0</v>
      </c>
      <c r="H5" s="29">
        <v>0</v>
      </c>
      <c r="I5" s="25">
        <f>'Parametre - Agendové IS'!E98</f>
        <v>0</v>
      </c>
      <c r="J5" s="145">
        <f>IF(ISERR(I5-H5),"-",I5-H5)</f>
        <v>0</v>
      </c>
      <c r="K5" s="26">
        <f>'Parametre - Agendové IS'!D128</f>
        <v>0</v>
      </c>
      <c r="L5" s="26">
        <f>'Parametre - Agendové IS'!E128</f>
        <v>0</v>
      </c>
      <c r="M5" s="28">
        <f t="shared" ref="M5:M13" si="4">IF(ISERR(L5-K5),"-",L5-K5)</f>
        <v>0</v>
      </c>
      <c r="N5" s="25">
        <f>-'Parametre - Agendové IS'!D78</f>
        <v>-7386838.5987508958</v>
      </c>
      <c r="O5" s="25">
        <f>-'Parametre - Agendové IS'!E78</f>
        <v>-7386838.5987508958</v>
      </c>
      <c r="P5" s="28">
        <f t="shared" si="1"/>
        <v>0</v>
      </c>
      <c r="Q5" s="26">
        <f t="shared" ref="Q5:Q13" si="5">SUM(B5,E5)</f>
        <v>0</v>
      </c>
      <c r="R5" s="25">
        <f t="shared" si="2"/>
        <v>0</v>
      </c>
      <c r="S5" s="28">
        <f t="shared" ref="S5:S12" si="6">R5-Q5</f>
        <v>0</v>
      </c>
      <c r="T5" s="26">
        <f t="shared" ref="T5:U13" si="7">SUM(H5,K5,N5)</f>
        <v>-7386838.5987508958</v>
      </c>
      <c r="U5" s="25">
        <f t="shared" si="7"/>
        <v>-7386838.5987508958</v>
      </c>
      <c r="V5" s="28">
        <f t="shared" ref="V5:V13" si="8">U5-T5</f>
        <v>0</v>
      </c>
    </row>
    <row r="6" spans="1:22" ht="16">
      <c r="A6" s="32" t="s">
        <v>117</v>
      </c>
      <c r="B6" s="26">
        <f>'Parametre - Agendové IS'!D119</f>
        <v>0</v>
      </c>
      <c r="C6" s="26">
        <f>'Parametre - Agendové IS'!E119</f>
        <v>0</v>
      </c>
      <c r="D6" s="28">
        <f t="shared" si="3"/>
        <v>0</v>
      </c>
      <c r="E6" s="331"/>
      <c r="F6" s="332"/>
      <c r="G6" s="28">
        <f t="shared" si="0"/>
        <v>0</v>
      </c>
      <c r="H6" s="29">
        <v>0</v>
      </c>
      <c r="I6" s="25">
        <f>'Parametre - Agendové IS'!E99</f>
        <v>0</v>
      </c>
      <c r="J6" s="28">
        <f t="shared" ref="J6:J13" si="9">IF(ISERR(I6-H6),"-",I6-H6)</f>
        <v>0</v>
      </c>
      <c r="K6" s="26">
        <f>'Parametre - Agendové IS'!D129</f>
        <v>0</v>
      </c>
      <c r="L6" s="26">
        <f>'Parametre - Agendové IS'!E129</f>
        <v>0</v>
      </c>
      <c r="M6" s="28">
        <f t="shared" si="4"/>
        <v>0</v>
      </c>
      <c r="N6" s="25">
        <f>-'Parametre - Agendové IS'!D79</f>
        <v>-7386838.5987508958</v>
      </c>
      <c r="O6" s="25">
        <f>-'Parametre - Agendové IS'!E79</f>
        <v>-44588.311785931037</v>
      </c>
      <c r="P6" s="28">
        <f t="shared" si="1"/>
        <v>7342250.2869649651</v>
      </c>
      <c r="Q6" s="26">
        <f t="shared" si="5"/>
        <v>0</v>
      </c>
      <c r="R6" s="25">
        <f t="shared" si="2"/>
        <v>0</v>
      </c>
      <c r="S6" s="28">
        <f t="shared" si="6"/>
        <v>0</v>
      </c>
      <c r="T6" s="26">
        <f t="shared" si="7"/>
        <v>-7386838.5987508958</v>
      </c>
      <c r="U6" s="25">
        <f t="shared" si="7"/>
        <v>-44588.311785931037</v>
      </c>
      <c r="V6" s="28">
        <f t="shared" si="8"/>
        <v>7342250.2869649651</v>
      </c>
    </row>
    <row r="7" spans="1:22" ht="16">
      <c r="A7" s="32" t="s">
        <v>118</v>
      </c>
      <c r="B7" s="26">
        <f>'Parametre - Agendové IS'!D120</f>
        <v>0</v>
      </c>
      <c r="C7" s="26">
        <f>'Parametre - Agendové IS'!E120</f>
        <v>0</v>
      </c>
      <c r="D7" s="28">
        <f t="shared" si="3"/>
        <v>0</v>
      </c>
      <c r="E7" s="331"/>
      <c r="F7" s="332"/>
      <c r="G7" s="28">
        <f t="shared" si="0"/>
        <v>0</v>
      </c>
      <c r="H7" s="29">
        <v>0</v>
      </c>
      <c r="I7" s="25">
        <f>'Parametre - Agendové IS'!E100</f>
        <v>0</v>
      </c>
      <c r="J7" s="28">
        <f t="shared" si="9"/>
        <v>0</v>
      </c>
      <c r="K7" s="26">
        <f>'Parametre - Agendové IS'!D130</f>
        <v>0</v>
      </c>
      <c r="L7" s="26">
        <f>'Parametre - Agendové IS'!E130</f>
        <v>0</v>
      </c>
      <c r="M7" s="28">
        <f t="shared" si="4"/>
        <v>0</v>
      </c>
      <c r="N7" s="25">
        <f>-'Parametre - Agendové IS'!D80</f>
        <v>-7386838.5987508958</v>
      </c>
      <c r="O7" s="25">
        <f>-'Parametre - Agendové IS'!E80</f>
        <v>-44588.311785931037</v>
      </c>
      <c r="P7" s="28">
        <f t="shared" si="1"/>
        <v>7342250.2869649651</v>
      </c>
      <c r="Q7" s="26">
        <f t="shared" si="5"/>
        <v>0</v>
      </c>
      <c r="R7" s="25">
        <f t="shared" si="2"/>
        <v>0</v>
      </c>
      <c r="S7" s="28">
        <f t="shared" si="6"/>
        <v>0</v>
      </c>
      <c r="T7" s="26">
        <f t="shared" si="7"/>
        <v>-7386838.5987508958</v>
      </c>
      <c r="U7" s="25">
        <f t="shared" si="7"/>
        <v>-44588.311785931037</v>
      </c>
      <c r="V7" s="28">
        <f t="shared" si="8"/>
        <v>7342250.2869649651</v>
      </c>
    </row>
    <row r="8" spans="1:22" ht="16">
      <c r="A8" s="32" t="s">
        <v>119</v>
      </c>
      <c r="B8" s="26">
        <f>'Parametre - Agendové IS'!D121</f>
        <v>0</v>
      </c>
      <c r="C8" s="26">
        <f>'Parametre - Agendové IS'!E121</f>
        <v>0</v>
      </c>
      <c r="D8" s="28">
        <f t="shared" si="3"/>
        <v>0</v>
      </c>
      <c r="E8" s="331"/>
      <c r="F8" s="332"/>
      <c r="G8" s="28">
        <f t="shared" si="0"/>
        <v>0</v>
      </c>
      <c r="H8" s="29">
        <v>0</v>
      </c>
      <c r="I8" s="25">
        <f>'Parametre - Agendové IS'!E101</f>
        <v>0</v>
      </c>
      <c r="J8" s="28">
        <f t="shared" si="9"/>
        <v>0</v>
      </c>
      <c r="K8" s="26">
        <f>'Parametre - Agendové IS'!D131</f>
        <v>0</v>
      </c>
      <c r="L8" s="26">
        <f>'Parametre - Agendové IS'!E131</f>
        <v>0</v>
      </c>
      <c r="M8" s="28">
        <f t="shared" si="4"/>
        <v>0</v>
      </c>
      <c r="N8" s="25">
        <f>-'Parametre - Agendové IS'!D81</f>
        <v>-7386838.5987508958</v>
      </c>
      <c r="O8" s="25">
        <f>-'Parametre - Agendové IS'!E81</f>
        <v>-44588.311785931037</v>
      </c>
      <c r="P8" s="28">
        <f t="shared" si="1"/>
        <v>7342250.2869649651</v>
      </c>
      <c r="Q8" s="26">
        <f t="shared" si="5"/>
        <v>0</v>
      </c>
      <c r="R8" s="25">
        <f t="shared" si="2"/>
        <v>0</v>
      </c>
      <c r="S8" s="28">
        <f t="shared" si="6"/>
        <v>0</v>
      </c>
      <c r="T8" s="26">
        <f t="shared" si="7"/>
        <v>-7386838.5987508958</v>
      </c>
      <c r="U8" s="25">
        <f t="shared" si="7"/>
        <v>-44588.311785931037</v>
      </c>
      <c r="V8" s="28">
        <f t="shared" si="8"/>
        <v>7342250.2869649651</v>
      </c>
    </row>
    <row r="9" spans="1:22" ht="16">
      <c r="A9" s="32" t="s">
        <v>120</v>
      </c>
      <c r="B9" s="26">
        <f>'Parametre - Agendové IS'!D122</f>
        <v>0</v>
      </c>
      <c r="C9" s="26">
        <f>'Parametre - Agendové IS'!E122</f>
        <v>0</v>
      </c>
      <c r="D9" s="28">
        <f t="shared" si="3"/>
        <v>0</v>
      </c>
      <c r="E9" s="331"/>
      <c r="F9" s="332"/>
      <c r="G9" s="28">
        <f t="shared" si="0"/>
        <v>0</v>
      </c>
      <c r="H9" s="29">
        <v>0</v>
      </c>
      <c r="I9" s="25">
        <f>'Parametre - Agendové IS'!E102</f>
        <v>0</v>
      </c>
      <c r="J9" s="28">
        <f t="shared" si="9"/>
        <v>0</v>
      </c>
      <c r="K9" s="26">
        <f>'Parametre - Agendové IS'!D132</f>
        <v>0</v>
      </c>
      <c r="L9" s="26">
        <f>'Parametre - Agendové IS'!E132</f>
        <v>0</v>
      </c>
      <c r="M9" s="28">
        <f t="shared" si="4"/>
        <v>0</v>
      </c>
      <c r="N9" s="25">
        <f>-'Parametre - Agendové IS'!D82</f>
        <v>-7386838.5987508958</v>
      </c>
      <c r="O9" s="25">
        <f>-'Parametre - Agendové IS'!E82</f>
        <v>-44588.311785931037</v>
      </c>
      <c r="P9" s="28">
        <f t="shared" si="1"/>
        <v>7342250.2869649651</v>
      </c>
      <c r="Q9" s="26">
        <f t="shared" si="5"/>
        <v>0</v>
      </c>
      <c r="R9" s="25">
        <f t="shared" si="2"/>
        <v>0</v>
      </c>
      <c r="S9" s="28">
        <f t="shared" si="6"/>
        <v>0</v>
      </c>
      <c r="T9" s="26">
        <f t="shared" si="7"/>
        <v>-7386838.5987508958</v>
      </c>
      <c r="U9" s="25">
        <f t="shared" si="7"/>
        <v>-44588.311785931037</v>
      </c>
      <c r="V9" s="28">
        <f t="shared" si="8"/>
        <v>7342250.2869649651</v>
      </c>
    </row>
    <row r="10" spans="1:22" ht="16">
      <c r="A10" s="32" t="s">
        <v>121</v>
      </c>
      <c r="B10" s="26">
        <f>'Parametre - Agendové IS'!D123</f>
        <v>0</v>
      </c>
      <c r="C10" s="26">
        <f>'Parametre - Agendové IS'!E123</f>
        <v>0</v>
      </c>
      <c r="D10" s="28">
        <f t="shared" si="3"/>
        <v>0</v>
      </c>
      <c r="E10" s="331"/>
      <c r="F10" s="332"/>
      <c r="G10" s="28">
        <f t="shared" si="0"/>
        <v>0</v>
      </c>
      <c r="H10" s="29">
        <v>0</v>
      </c>
      <c r="I10" s="25">
        <f>'Parametre - Agendové IS'!E103</f>
        <v>0</v>
      </c>
      <c r="J10" s="28">
        <f t="shared" si="9"/>
        <v>0</v>
      </c>
      <c r="K10" s="26">
        <f>'Parametre - Agendové IS'!D133</f>
        <v>0</v>
      </c>
      <c r="L10" s="26">
        <f>'Parametre - Agendové IS'!E133</f>
        <v>0</v>
      </c>
      <c r="M10" s="28">
        <f t="shared" si="4"/>
        <v>0</v>
      </c>
      <c r="N10" s="25">
        <f>-'Parametre - Agendové IS'!D83</f>
        <v>-7386838.5987508958</v>
      </c>
      <c r="O10" s="25">
        <f>-'Parametre - Agendové IS'!E83</f>
        <v>-44588.311785931037</v>
      </c>
      <c r="P10" s="28">
        <f t="shared" si="1"/>
        <v>7342250.2869649651</v>
      </c>
      <c r="Q10" s="26">
        <f t="shared" si="5"/>
        <v>0</v>
      </c>
      <c r="R10" s="25">
        <f t="shared" si="2"/>
        <v>0</v>
      </c>
      <c r="S10" s="28">
        <f t="shared" si="6"/>
        <v>0</v>
      </c>
      <c r="T10" s="26">
        <f t="shared" si="7"/>
        <v>-7386838.5987508958</v>
      </c>
      <c r="U10" s="25">
        <f t="shared" si="7"/>
        <v>-44588.311785931037</v>
      </c>
      <c r="V10" s="28">
        <f t="shared" si="8"/>
        <v>7342250.2869649651</v>
      </c>
    </row>
    <row r="11" spans="1:22" ht="16">
      <c r="A11" s="32" t="s">
        <v>122</v>
      </c>
      <c r="B11" s="26">
        <f>'Parametre - Agendové IS'!D124</f>
        <v>0</v>
      </c>
      <c r="C11" s="26">
        <f>'Parametre - Agendové IS'!E124</f>
        <v>0</v>
      </c>
      <c r="D11" s="28">
        <f t="shared" si="3"/>
        <v>0</v>
      </c>
      <c r="E11" s="331"/>
      <c r="F11" s="332"/>
      <c r="G11" s="28">
        <f t="shared" si="0"/>
        <v>0</v>
      </c>
      <c r="H11" s="29">
        <v>0</v>
      </c>
      <c r="I11" s="25">
        <f>'Parametre - Agendové IS'!E104</f>
        <v>0</v>
      </c>
      <c r="J11" s="28">
        <f t="shared" si="9"/>
        <v>0</v>
      </c>
      <c r="K11" s="26">
        <f>'Parametre - Agendové IS'!D134</f>
        <v>0</v>
      </c>
      <c r="L11" s="26">
        <f>'Parametre - Agendové IS'!E134</f>
        <v>0</v>
      </c>
      <c r="M11" s="28">
        <f t="shared" si="4"/>
        <v>0</v>
      </c>
      <c r="N11" s="25">
        <f>-'Parametre - Agendové IS'!D84</f>
        <v>-7386838.5987508958</v>
      </c>
      <c r="O11" s="25">
        <f>-'Parametre - Agendové IS'!E84</f>
        <v>-44588.311785931037</v>
      </c>
      <c r="P11" s="28">
        <f t="shared" si="1"/>
        <v>7342250.2869649651</v>
      </c>
      <c r="Q11" s="26">
        <f t="shared" si="5"/>
        <v>0</v>
      </c>
      <c r="R11" s="25">
        <f t="shared" si="2"/>
        <v>0</v>
      </c>
      <c r="S11" s="28">
        <f t="shared" si="6"/>
        <v>0</v>
      </c>
      <c r="T11" s="26">
        <f t="shared" si="7"/>
        <v>-7386838.5987508958</v>
      </c>
      <c r="U11" s="25">
        <f t="shared" si="7"/>
        <v>-44588.311785931037</v>
      </c>
      <c r="V11" s="28">
        <f t="shared" si="8"/>
        <v>7342250.2869649651</v>
      </c>
    </row>
    <row r="12" spans="1:22" ht="16">
      <c r="A12" s="32" t="s">
        <v>123</v>
      </c>
      <c r="B12" s="26">
        <f>'Parametre - Agendové IS'!D125</f>
        <v>0</v>
      </c>
      <c r="C12" s="26">
        <f>'Parametre - Agendové IS'!E125</f>
        <v>0</v>
      </c>
      <c r="D12" s="28">
        <f t="shared" si="3"/>
        <v>0</v>
      </c>
      <c r="E12" s="331"/>
      <c r="F12" s="332"/>
      <c r="G12" s="28">
        <f t="shared" si="0"/>
        <v>0</v>
      </c>
      <c r="H12" s="29">
        <v>0</v>
      </c>
      <c r="I12" s="25">
        <f>'Parametre - Agendové IS'!E105</f>
        <v>0</v>
      </c>
      <c r="J12" s="28">
        <f t="shared" si="9"/>
        <v>0</v>
      </c>
      <c r="K12" s="26">
        <f>'Parametre - Agendové IS'!D135</f>
        <v>0</v>
      </c>
      <c r="L12" s="26">
        <f>'Parametre - Agendové IS'!E135</f>
        <v>0</v>
      </c>
      <c r="M12" s="28">
        <f t="shared" si="4"/>
        <v>0</v>
      </c>
      <c r="N12" s="25">
        <f>-'Parametre - Agendové IS'!D85</f>
        <v>-7386838.5987508958</v>
      </c>
      <c r="O12" s="25">
        <f>-'Parametre - Agendové IS'!E85</f>
        <v>-44588.311785931037</v>
      </c>
      <c r="P12" s="28">
        <f t="shared" si="1"/>
        <v>7342250.2869649651</v>
      </c>
      <c r="Q12" s="26">
        <f t="shared" si="5"/>
        <v>0</v>
      </c>
      <c r="R12" s="25">
        <f t="shared" si="2"/>
        <v>0</v>
      </c>
      <c r="S12" s="28">
        <f t="shared" si="6"/>
        <v>0</v>
      </c>
      <c r="T12" s="26">
        <f t="shared" si="7"/>
        <v>-7386838.5987508958</v>
      </c>
      <c r="U12" s="25">
        <f t="shared" si="7"/>
        <v>-44588.311785931037</v>
      </c>
      <c r="V12" s="28">
        <f t="shared" si="8"/>
        <v>7342250.2869649651</v>
      </c>
    </row>
    <row r="13" spans="1:22" ht="15.5" customHeight="1" thickBot="1">
      <c r="A13" s="32" t="s">
        <v>124</v>
      </c>
      <c r="B13" s="46">
        <f>'Parametre - Agendové IS'!D126</f>
        <v>0</v>
      </c>
      <c r="C13" s="46">
        <f>'Parametre - Agendové IS'!E126</f>
        <v>0</v>
      </c>
      <c r="D13" s="154">
        <f t="shared" si="3"/>
        <v>0</v>
      </c>
      <c r="E13" s="333"/>
      <c r="F13" s="334"/>
      <c r="G13" s="154">
        <f t="shared" si="0"/>
        <v>0</v>
      </c>
      <c r="H13" s="29">
        <v>0</v>
      </c>
      <c r="I13" s="42">
        <f>'Parametre - Agendové IS'!E106</f>
        <v>0</v>
      </c>
      <c r="J13" s="154">
        <f t="shared" si="9"/>
        <v>0</v>
      </c>
      <c r="K13" s="46">
        <f>'Parametre - Agendové IS'!D136</f>
        <v>0</v>
      </c>
      <c r="L13" s="46">
        <f>'Parametre - Agendové IS'!E136</f>
        <v>0</v>
      </c>
      <c r="M13" s="154">
        <f t="shared" si="4"/>
        <v>0</v>
      </c>
      <c r="N13" s="42">
        <f>-'Parametre - Agendové IS'!D86</f>
        <v>-7386838.5987508958</v>
      </c>
      <c r="O13" s="42">
        <f>-'Parametre - Agendové IS'!E86</f>
        <v>-44588.311785931037</v>
      </c>
      <c r="P13" s="42">
        <f t="shared" si="1"/>
        <v>7342250.2869649651</v>
      </c>
      <c r="Q13" s="157">
        <f t="shared" si="5"/>
        <v>0</v>
      </c>
      <c r="R13" s="42">
        <f t="shared" si="2"/>
        <v>0</v>
      </c>
      <c r="S13" s="154">
        <f>R13-Q13</f>
        <v>0</v>
      </c>
      <c r="T13" s="46">
        <f t="shared" si="7"/>
        <v>-7386838.5987508958</v>
      </c>
      <c r="U13" s="42">
        <f t="shared" si="7"/>
        <v>-44588.311785931037</v>
      </c>
      <c r="V13" s="154">
        <f t="shared" si="8"/>
        <v>7342250.2869649651</v>
      </c>
    </row>
    <row r="14" spans="1:22" ht="16">
      <c r="A14" s="158" t="s">
        <v>81</v>
      </c>
      <c r="B14" s="516">
        <f>SUM(B4:B13)</f>
        <v>0</v>
      </c>
      <c r="C14" s="516">
        <f t="shared" ref="C14:P14" si="10">SUM(C4:C13)</f>
        <v>0</v>
      </c>
      <c r="D14" s="517">
        <f t="shared" si="10"/>
        <v>0</v>
      </c>
      <c r="E14" s="516">
        <f t="shared" si="10"/>
        <v>0</v>
      </c>
      <c r="F14" s="518">
        <f t="shared" si="10"/>
        <v>0</v>
      </c>
      <c r="G14" s="517">
        <f t="shared" si="10"/>
        <v>0</v>
      </c>
      <c r="H14" s="516">
        <f t="shared" si="10"/>
        <v>0</v>
      </c>
      <c r="I14" s="518">
        <f t="shared" si="10"/>
        <v>0</v>
      </c>
      <c r="J14" s="517">
        <f t="shared" si="10"/>
        <v>0</v>
      </c>
      <c r="K14" s="516">
        <f t="shared" si="10"/>
        <v>0</v>
      </c>
      <c r="L14" s="516">
        <f t="shared" si="10"/>
        <v>0</v>
      </c>
      <c r="M14" s="517">
        <f t="shared" si="10"/>
        <v>0</v>
      </c>
      <c r="N14" s="518">
        <f t="shared" si="10"/>
        <v>-73868385.987508953</v>
      </c>
      <c r="O14" s="518">
        <f t="shared" si="10"/>
        <v>-15130383.691789238</v>
      </c>
      <c r="P14" s="519">
        <f t="shared" si="10"/>
        <v>58738002.295719728</v>
      </c>
      <c r="Q14" s="520">
        <f t="shared" ref="Q14:V14" si="11">SUM(Q4:Q13)</f>
        <v>0</v>
      </c>
      <c r="R14" s="518">
        <f t="shared" si="11"/>
        <v>0</v>
      </c>
      <c r="S14" s="521">
        <f t="shared" si="11"/>
        <v>0</v>
      </c>
      <c r="T14" s="520">
        <f t="shared" si="11"/>
        <v>-73868385.987508953</v>
      </c>
      <c r="U14" s="518">
        <f t="shared" si="11"/>
        <v>-15130383.691789238</v>
      </c>
      <c r="V14" s="522">
        <f t="shared" si="11"/>
        <v>58738002.295719728</v>
      </c>
    </row>
    <row r="15" spans="1:22" ht="17" thickBot="1">
      <c r="A15" s="159" t="s">
        <v>154</v>
      </c>
      <c r="B15" s="523"/>
      <c r="C15" s="523"/>
      <c r="D15" s="524">
        <f>D4+NPV(Faktory!$D$5,'Prínosy - Agendové IS'!D5:D13)</f>
        <v>0</v>
      </c>
      <c r="E15" s="525"/>
      <c r="F15" s="526"/>
      <c r="G15" s="524">
        <f>G4+NPV(Faktory!$D$3,'Prínosy - Agendové IS'!G5:G13)</f>
        <v>0</v>
      </c>
      <c r="H15" s="525"/>
      <c r="I15" s="526"/>
      <c r="J15" s="524">
        <f>J4+NPV(Faktory!$D$5,'Prínosy - Agendové IS'!J5:J13)</f>
        <v>0</v>
      </c>
      <c r="K15" s="523"/>
      <c r="L15" s="523"/>
      <c r="M15" s="524">
        <f>M4+NPV(Faktory!$D$5,'Prínosy - Agendové IS'!M5:M13)</f>
        <v>0</v>
      </c>
      <c r="N15" s="526"/>
      <c r="O15" s="526"/>
      <c r="P15" s="527">
        <f>P4+NPV(Faktory!$D$5,'Prínosy - Agendové IS'!P5:P13)</f>
        <v>45194786.416774318</v>
      </c>
      <c r="Q15" s="528"/>
      <c r="R15" s="526"/>
      <c r="S15" s="524">
        <f>S4+NPV(Faktory!$D$5,'Prínosy - Agendové IS'!S5:S13)</f>
        <v>0</v>
      </c>
      <c r="T15" s="528"/>
      <c r="U15" s="526"/>
      <c r="V15" s="524">
        <f>V4+NPV(Faktory!$D$5,'Prínosy - Agendové IS'!V5:V13)</f>
        <v>45194786.416774318</v>
      </c>
    </row>
    <row r="17" spans="2:2">
      <c r="B17" s="102" t="s">
        <v>155</v>
      </c>
    </row>
    <row r="38" spans="15:15">
      <c r="O38" s="156"/>
    </row>
  </sheetData>
  <protectedRanges>
    <protectedRange algorithmName="SHA-512" hashValue="f4ycvS5NMakRYlpexdvZE7kc5B00PVZgCpNS64jzUJaJceYSE+aleudxwPGxr22CZo/5IZ2uTHVQQMolnN60/A==" saltValue="c0KVc6r/LTYq/uhy9236YA==" spinCount="100000" sqref="E2:G15" name="Rozsah1"/>
  </protectedRanges>
  <mergeCells count="10">
    <mergeCell ref="B1:D1"/>
    <mergeCell ref="Q1:V1"/>
    <mergeCell ref="B2:D2"/>
    <mergeCell ref="E2:G2"/>
    <mergeCell ref="H2:J2"/>
    <mergeCell ref="K2:M2"/>
    <mergeCell ref="Q2:S2"/>
    <mergeCell ref="T2:V2"/>
    <mergeCell ref="N2:P2"/>
    <mergeCell ref="E1:P1"/>
  </mergeCells>
  <pageMargins left="0.7" right="0.7" top="0.75" bottom="0.75" header="0.3" footer="0.3"/>
  <pageSetup paperSize="9" scale="2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2"/>
  <sheetViews>
    <sheetView topLeftCell="I1" zoomScaleNormal="100" zoomScaleSheetLayoutView="100" workbookViewId="0">
      <selection activeCell="S40" sqref="S40"/>
    </sheetView>
  </sheetViews>
  <sheetFormatPr baseColWidth="10" defaultColWidth="8.83203125" defaultRowHeight="15"/>
  <cols>
    <col min="2" max="2" width="14.33203125" customWidth="1"/>
    <col min="3" max="3" width="15.83203125" bestFit="1" customWidth="1"/>
    <col min="4" max="4" width="16.6640625" bestFit="1" customWidth="1"/>
    <col min="5" max="6" width="13.5" bestFit="1" customWidth="1"/>
    <col min="7" max="7" width="16.6640625" bestFit="1" customWidth="1"/>
    <col min="8" max="8" width="14.5" bestFit="1" customWidth="1"/>
    <col min="9" max="9" width="13.5" bestFit="1" customWidth="1"/>
    <col min="10" max="10" width="16.6640625" bestFit="1" customWidth="1"/>
    <col min="11" max="16" width="16.6640625" customWidth="1"/>
    <col min="17" max="17" width="13.5" bestFit="1" customWidth="1"/>
    <col min="18" max="18" width="15.83203125" bestFit="1" customWidth="1"/>
    <col min="19" max="19" width="15.33203125" customWidth="1"/>
    <col min="20" max="21" width="17" bestFit="1" customWidth="1"/>
    <col min="22" max="22" width="14.33203125" bestFit="1" customWidth="1"/>
  </cols>
  <sheetData>
    <row r="1" spans="1:23" ht="15.75" customHeight="1" thickBot="1">
      <c r="A1" s="36"/>
      <c r="B1" s="784" t="s">
        <v>156</v>
      </c>
      <c r="C1" s="785"/>
      <c r="D1" s="785"/>
      <c r="E1" s="785"/>
      <c r="F1" s="785"/>
      <c r="G1" s="785"/>
      <c r="H1" s="785"/>
      <c r="I1" s="785"/>
      <c r="J1" s="785"/>
      <c r="K1" s="785"/>
      <c r="L1" s="785"/>
      <c r="M1" s="786"/>
      <c r="N1" s="784" t="s">
        <v>90</v>
      </c>
      <c r="O1" s="785"/>
      <c r="P1" s="786"/>
      <c r="Q1" s="783" t="s">
        <v>157</v>
      </c>
      <c r="R1" s="783"/>
      <c r="S1" s="783"/>
      <c r="T1" s="760" t="s">
        <v>158</v>
      </c>
      <c r="U1" s="761"/>
      <c r="V1" s="762"/>
    </row>
    <row r="2" spans="1:23" ht="15.75" customHeight="1" thickBot="1">
      <c r="A2" s="7"/>
      <c r="B2" s="761" t="s">
        <v>88</v>
      </c>
      <c r="C2" s="761"/>
      <c r="D2" s="762"/>
      <c r="E2" s="761" t="s">
        <v>87</v>
      </c>
      <c r="F2" s="761"/>
      <c r="G2" s="762"/>
      <c r="H2" s="761" t="s">
        <v>86</v>
      </c>
      <c r="I2" s="761"/>
      <c r="J2" s="762"/>
      <c r="K2" s="761" t="s">
        <v>159</v>
      </c>
      <c r="L2" s="761"/>
      <c r="M2" s="762"/>
      <c r="N2" s="761"/>
      <c r="O2" s="761"/>
      <c r="P2" s="762"/>
      <c r="Q2" s="761" t="s">
        <v>83</v>
      </c>
      <c r="R2" s="761"/>
      <c r="S2" s="762"/>
      <c r="T2" s="7"/>
      <c r="U2" s="7"/>
      <c r="V2" s="37"/>
    </row>
    <row r="3" spans="1:23" ht="19.25" customHeight="1" thickBot="1">
      <c r="A3" s="39" t="s">
        <v>111</v>
      </c>
      <c r="B3" s="40" t="s">
        <v>112</v>
      </c>
      <c r="C3" s="40" t="s">
        <v>113</v>
      </c>
      <c r="D3" s="41" t="s">
        <v>114</v>
      </c>
      <c r="E3" s="40" t="s">
        <v>112</v>
      </c>
      <c r="F3" s="40" t="s">
        <v>113</v>
      </c>
      <c r="G3" s="41" t="s">
        <v>114</v>
      </c>
      <c r="H3" s="40" t="s">
        <v>112</v>
      </c>
      <c r="I3" s="40" t="s">
        <v>113</v>
      </c>
      <c r="J3" s="41" t="s">
        <v>114</v>
      </c>
      <c r="K3" s="40" t="s">
        <v>112</v>
      </c>
      <c r="L3" s="40" t="s">
        <v>113</v>
      </c>
      <c r="M3" s="41" t="s">
        <v>114</v>
      </c>
      <c r="N3" s="40" t="s">
        <v>112</v>
      </c>
      <c r="O3" s="40" t="s">
        <v>113</v>
      </c>
      <c r="P3" s="41" t="s">
        <v>114</v>
      </c>
      <c r="Q3" s="40" t="s">
        <v>112</v>
      </c>
      <c r="R3" s="40" t="s">
        <v>113</v>
      </c>
      <c r="S3" s="41" t="s">
        <v>114</v>
      </c>
      <c r="T3" s="40" t="s">
        <v>112</v>
      </c>
      <c r="U3" s="40" t="s">
        <v>113</v>
      </c>
      <c r="V3" s="41" t="s">
        <v>114</v>
      </c>
    </row>
    <row r="4" spans="1:23" ht="16">
      <c r="A4" s="24" t="s">
        <v>115</v>
      </c>
      <c r="B4" s="25">
        <f>TCO!D26+TCO!D27</f>
        <v>100</v>
      </c>
      <c r="C4" s="25">
        <f>(TCO!D$12*(1+$W$5))+TCO!D$13</f>
        <v>0</v>
      </c>
      <c r="D4" s="33">
        <f>C4-B4</f>
        <v>-100</v>
      </c>
      <c r="E4" s="26">
        <f>TCO!D22+TCO!D23</f>
        <v>412</v>
      </c>
      <c r="F4" s="25">
        <f>(TCO!D$7*(1+$W$5))+TCO!D$8</f>
        <v>912178.75</v>
      </c>
      <c r="G4" s="33">
        <f>F4-E4</f>
        <v>911766.75</v>
      </c>
      <c r="H4" s="25">
        <f>TCO!D24+TCO!D25</f>
        <v>1298400</v>
      </c>
      <c r="I4" s="25">
        <f>(TCO!D$9*(1+$W$5))+TCO!D$10</f>
        <v>3094500</v>
      </c>
      <c r="J4" s="33">
        <f>I4-H4</f>
        <v>1796100</v>
      </c>
      <c r="K4" s="26">
        <v>0</v>
      </c>
      <c r="L4" s="26">
        <f>TCO!D11</f>
        <v>0</v>
      </c>
      <c r="M4" s="33">
        <f>L4-K4</f>
        <v>0</v>
      </c>
      <c r="N4" s="26">
        <v>0</v>
      </c>
      <c r="O4" s="26">
        <f>TCO!D14</f>
        <v>171431.17607526883</v>
      </c>
      <c r="P4" s="33">
        <f>O4-N4</f>
        <v>171431.17607526883</v>
      </c>
      <c r="Q4" s="26">
        <f>'Parametre - Agendové IS'!D107</f>
        <v>43143.57</v>
      </c>
      <c r="R4" s="26">
        <f>'Parametre - Agendové IS'!E107</f>
        <v>43143.57</v>
      </c>
      <c r="S4" s="33">
        <f t="shared" ref="S4:S13" si="0">IF(ISERR(R4-Q4),"-",R4-Q4)</f>
        <v>0</v>
      </c>
      <c r="T4" s="25">
        <f>SUM(B4,E4,H4,K4,N4,Q4)</f>
        <v>1342055.57</v>
      </c>
      <c r="U4" s="25">
        <f>((C4+F4+L4+O4+I4)*(1+$W$4))+R4</f>
        <v>4221253.4960752688</v>
      </c>
      <c r="V4" s="33">
        <f>U4-T4</f>
        <v>2879197.9260752685</v>
      </c>
      <c r="W4" s="195">
        <f>'Analyza citlivosti - AgendovéIS'!B7</f>
        <v>0</v>
      </c>
    </row>
    <row r="5" spans="1:23" ht="16">
      <c r="A5" s="24" t="s">
        <v>116</v>
      </c>
      <c r="B5" s="25">
        <f>TCO!E26+TCO!E27</f>
        <v>100</v>
      </c>
      <c r="C5" s="25">
        <f>(TCO!E$12*(1+$W$5))+TCO!E$13</f>
        <v>0</v>
      </c>
      <c r="D5" s="28">
        <f t="shared" ref="D5:D13" si="1">C5-B5</f>
        <v>-100</v>
      </c>
      <c r="E5" s="26">
        <f>TCO!E22+TCO!E23</f>
        <v>412</v>
      </c>
      <c r="F5" s="25">
        <f>(TCO!E$7*(1+$W$5))+TCO!E$8</f>
        <v>244125</v>
      </c>
      <c r="G5" s="28">
        <f t="shared" ref="G5:G13" si="2">F5-E5</f>
        <v>243713</v>
      </c>
      <c r="H5" s="25">
        <f>TCO!E24+TCO!E25</f>
        <v>1298400</v>
      </c>
      <c r="I5" s="25">
        <f>(TCO!E$9*(1+$W$5))+TCO!E$10</f>
        <v>4682436</v>
      </c>
      <c r="J5" s="28">
        <f t="shared" ref="J5:J13" si="3">I5-H5</f>
        <v>3384036</v>
      </c>
      <c r="K5" s="26">
        <v>0</v>
      </c>
      <c r="L5" s="26">
        <f>TCO!E11</f>
        <v>0</v>
      </c>
      <c r="M5" s="28">
        <f t="shared" ref="M5:M13" si="4">L5-K5</f>
        <v>0</v>
      </c>
      <c r="N5" s="26">
        <v>0</v>
      </c>
      <c r="O5" s="26">
        <f>TCO!E14</f>
        <v>308576.11693548388</v>
      </c>
      <c r="P5" s="28">
        <f t="shared" ref="P5:P13" si="5">O5-N5</f>
        <v>308576.11693548388</v>
      </c>
      <c r="Q5" s="26">
        <f>'Parametre - Agendové IS'!D108</f>
        <v>43143.57</v>
      </c>
      <c r="R5" s="26">
        <f>'Parametre - Agendové IS'!E108</f>
        <v>43143.57</v>
      </c>
      <c r="S5" s="28">
        <f t="shared" si="0"/>
        <v>0</v>
      </c>
      <c r="T5" s="25">
        <f t="shared" ref="T5:T13" si="6">SUM(B5,E5,H5,K5,N5,Q5)</f>
        <v>1342055.57</v>
      </c>
      <c r="U5" s="25">
        <f t="shared" ref="U5:U13" si="7">((C5+F5+L5+O5+I5)*(1+$W$4))+R5</f>
        <v>5278280.6869354844</v>
      </c>
      <c r="V5" s="28">
        <f t="shared" ref="V5:V13" si="8">U5-T5</f>
        <v>3936225.1169354841</v>
      </c>
      <c r="W5" s="195">
        <f>'Analyza citlivosti - AgendovéIS'!E7</f>
        <v>0</v>
      </c>
    </row>
    <row r="6" spans="1:23" ht="16">
      <c r="A6" s="24" t="s">
        <v>117</v>
      </c>
      <c r="B6" s="25">
        <f>TCO!F26+TCO!F27</f>
        <v>100</v>
      </c>
      <c r="C6" s="25">
        <f>(TCO!F$12*(1+$W$5))+TCO!F$13</f>
        <v>0</v>
      </c>
      <c r="D6" s="28">
        <f t="shared" si="1"/>
        <v>-100</v>
      </c>
      <c r="E6" s="26">
        <f>TCO!F22+TCO!F23</f>
        <v>412</v>
      </c>
      <c r="F6" s="25">
        <f>(TCO!F$7*(1+$W$5))+TCO!F$8</f>
        <v>261625</v>
      </c>
      <c r="G6" s="28">
        <f t="shared" si="2"/>
        <v>261213</v>
      </c>
      <c r="H6" s="25">
        <f>TCO!F24+TCO!F25</f>
        <v>1298400</v>
      </c>
      <c r="I6" s="25">
        <f>(TCO!F$9*(1+$W$5))+TCO!F$10</f>
        <v>1800093.6</v>
      </c>
      <c r="J6" s="28">
        <f t="shared" si="3"/>
        <v>501693.60000000009</v>
      </c>
      <c r="K6" s="26">
        <v>0</v>
      </c>
      <c r="L6" s="26">
        <f>TCO!F11</f>
        <v>0</v>
      </c>
      <c r="M6" s="28">
        <f t="shared" si="4"/>
        <v>0</v>
      </c>
      <c r="N6" s="26">
        <v>0</v>
      </c>
      <c r="O6" s="26">
        <f>TCO!F14</f>
        <v>0</v>
      </c>
      <c r="P6" s="28">
        <f t="shared" si="5"/>
        <v>0</v>
      </c>
      <c r="Q6" s="26">
        <f>'Parametre - Agendové IS'!D109</f>
        <v>43143.57</v>
      </c>
      <c r="R6" s="26">
        <f>'Parametre - Agendové IS'!E109</f>
        <v>0</v>
      </c>
      <c r="S6" s="28">
        <f t="shared" si="0"/>
        <v>-43143.57</v>
      </c>
      <c r="T6" s="25">
        <f t="shared" si="6"/>
        <v>1342055.57</v>
      </c>
      <c r="U6" s="25">
        <f t="shared" si="7"/>
        <v>2061718.6</v>
      </c>
      <c r="V6" s="28">
        <f t="shared" si="8"/>
        <v>719663.03</v>
      </c>
    </row>
    <row r="7" spans="1:23" ht="16">
      <c r="A7" s="24" t="s">
        <v>118</v>
      </c>
      <c r="B7" s="25">
        <f>TCO!G26+TCO!G27</f>
        <v>100</v>
      </c>
      <c r="C7" s="25">
        <f>(TCO!G$12*(1+$W$5))+TCO!G$13</f>
        <v>0</v>
      </c>
      <c r="D7" s="28">
        <f t="shared" si="1"/>
        <v>-100</v>
      </c>
      <c r="E7" s="26">
        <f>TCO!G22+TCO!G23</f>
        <v>412</v>
      </c>
      <c r="F7" s="25">
        <f>(TCO!G$7*(1+$W$5))+TCO!G$8</f>
        <v>261625</v>
      </c>
      <c r="G7" s="28">
        <f t="shared" si="2"/>
        <v>261213</v>
      </c>
      <c r="H7" s="25">
        <f>TCO!G24+TCO!G25</f>
        <v>1298400</v>
      </c>
      <c r="I7" s="25">
        <f>(TCO!G$9*(1+$W$5))+TCO!G$10</f>
        <v>1800093.6</v>
      </c>
      <c r="J7" s="28">
        <f t="shared" si="3"/>
        <v>501693.60000000009</v>
      </c>
      <c r="K7" s="26">
        <v>0</v>
      </c>
      <c r="L7" s="26">
        <f>TCO!G11</f>
        <v>0</v>
      </c>
      <c r="M7" s="28">
        <f t="shared" si="4"/>
        <v>0</v>
      </c>
      <c r="N7" s="26">
        <v>0</v>
      </c>
      <c r="O7" s="26">
        <f>TCO!G14</f>
        <v>0</v>
      </c>
      <c r="P7" s="28">
        <f t="shared" si="5"/>
        <v>0</v>
      </c>
      <c r="Q7" s="26">
        <f>'Parametre - Agendové IS'!D110</f>
        <v>43143.57</v>
      </c>
      <c r="R7" s="26">
        <f>'Parametre - Agendové IS'!E110</f>
        <v>0</v>
      </c>
      <c r="S7" s="28">
        <f t="shared" si="0"/>
        <v>-43143.57</v>
      </c>
      <c r="T7" s="25">
        <f t="shared" si="6"/>
        <v>1342055.57</v>
      </c>
      <c r="U7" s="25">
        <f t="shared" si="7"/>
        <v>2061718.6</v>
      </c>
      <c r="V7" s="28">
        <f t="shared" si="8"/>
        <v>719663.03</v>
      </c>
    </row>
    <row r="8" spans="1:23" ht="16">
      <c r="A8" s="24" t="s">
        <v>119</v>
      </c>
      <c r="B8" s="25">
        <f>TCO!H26+TCO!H27</f>
        <v>100</v>
      </c>
      <c r="C8" s="25">
        <f>(TCO!H$12*(1+$W$5))+TCO!H$13</f>
        <v>0</v>
      </c>
      <c r="D8" s="28">
        <f t="shared" si="1"/>
        <v>-100</v>
      </c>
      <c r="E8" s="26">
        <f>TCO!H22+TCO!H23</f>
        <v>412</v>
      </c>
      <c r="F8" s="25">
        <f>(TCO!H$7*(1+$W$5))+TCO!H$8</f>
        <v>261625</v>
      </c>
      <c r="G8" s="28">
        <f t="shared" si="2"/>
        <v>261213</v>
      </c>
      <c r="H8" s="25">
        <f>TCO!H24+TCO!H25</f>
        <v>1298400</v>
      </c>
      <c r="I8" s="25">
        <f>(TCO!H$9*(1+$W$5))+TCO!H$10</f>
        <v>1800093.6</v>
      </c>
      <c r="J8" s="28">
        <f t="shared" si="3"/>
        <v>501693.60000000009</v>
      </c>
      <c r="K8" s="26">
        <v>0</v>
      </c>
      <c r="L8" s="26">
        <f>TCO!H11</f>
        <v>0</v>
      </c>
      <c r="M8" s="28">
        <f t="shared" si="4"/>
        <v>0</v>
      </c>
      <c r="N8" s="26">
        <v>0</v>
      </c>
      <c r="O8" s="26">
        <f>TCO!H14</f>
        <v>0</v>
      </c>
      <c r="P8" s="28">
        <f t="shared" si="5"/>
        <v>0</v>
      </c>
      <c r="Q8" s="26">
        <f>'Parametre - Agendové IS'!D111</f>
        <v>43143.57</v>
      </c>
      <c r="R8" s="26">
        <f>'Parametre - Agendové IS'!E111</f>
        <v>0</v>
      </c>
      <c r="S8" s="28">
        <f t="shared" si="0"/>
        <v>-43143.57</v>
      </c>
      <c r="T8" s="25">
        <f t="shared" si="6"/>
        <v>1342055.57</v>
      </c>
      <c r="U8" s="25">
        <f t="shared" si="7"/>
        <v>2061718.6</v>
      </c>
      <c r="V8" s="28">
        <f t="shared" si="8"/>
        <v>719663.03</v>
      </c>
    </row>
    <row r="9" spans="1:23" ht="16">
      <c r="A9" s="24" t="s">
        <v>120</v>
      </c>
      <c r="B9" s="25">
        <f>TCO!I26+TCO!I27</f>
        <v>100</v>
      </c>
      <c r="C9" s="25">
        <f>(TCO!I$12*(1+$W$5))+TCO!I$13</f>
        <v>0</v>
      </c>
      <c r="D9" s="28">
        <f t="shared" si="1"/>
        <v>-100</v>
      </c>
      <c r="E9" s="26">
        <f>TCO!I22+TCO!I23</f>
        <v>412</v>
      </c>
      <c r="F9" s="25">
        <f>(TCO!I$7*(1+$W$5))+TCO!I$8</f>
        <v>261625</v>
      </c>
      <c r="G9" s="28">
        <f t="shared" si="2"/>
        <v>261213</v>
      </c>
      <c r="H9" s="25">
        <f>TCO!I24+TCO!I25</f>
        <v>1298400</v>
      </c>
      <c r="I9" s="25">
        <f>(TCO!I$9*(1+$W$5))+TCO!I$10</f>
        <v>1800093.6</v>
      </c>
      <c r="J9" s="28">
        <f t="shared" si="3"/>
        <v>501693.60000000009</v>
      </c>
      <c r="K9" s="26">
        <v>0</v>
      </c>
      <c r="L9" s="26">
        <f>TCO!I11</f>
        <v>0</v>
      </c>
      <c r="M9" s="28">
        <f t="shared" si="4"/>
        <v>0</v>
      </c>
      <c r="N9" s="26">
        <v>0</v>
      </c>
      <c r="O9" s="26">
        <f>TCO!I14</f>
        <v>0</v>
      </c>
      <c r="P9" s="28">
        <f t="shared" si="5"/>
        <v>0</v>
      </c>
      <c r="Q9" s="26">
        <f>'Parametre - Agendové IS'!D112</f>
        <v>43143.57</v>
      </c>
      <c r="R9" s="26">
        <f>'Parametre - Agendové IS'!E112</f>
        <v>0</v>
      </c>
      <c r="S9" s="28">
        <f t="shared" si="0"/>
        <v>-43143.57</v>
      </c>
      <c r="T9" s="25">
        <f t="shared" si="6"/>
        <v>1342055.57</v>
      </c>
      <c r="U9" s="25">
        <f t="shared" si="7"/>
        <v>2061718.6</v>
      </c>
      <c r="V9" s="28">
        <f t="shared" si="8"/>
        <v>719663.03</v>
      </c>
    </row>
    <row r="10" spans="1:23" ht="16">
      <c r="A10" s="24" t="s">
        <v>121</v>
      </c>
      <c r="B10" s="25">
        <f>TCO!J26+TCO!J27</f>
        <v>100</v>
      </c>
      <c r="C10" s="25">
        <f>(TCO!J$12*(1+$W$5))+TCO!J$13</f>
        <v>0</v>
      </c>
      <c r="D10" s="28">
        <f t="shared" si="1"/>
        <v>-100</v>
      </c>
      <c r="E10" s="26">
        <f>TCO!J22+TCO!J23</f>
        <v>412</v>
      </c>
      <c r="F10" s="25">
        <f>(TCO!J$7*(1+$W$5))+TCO!J$8</f>
        <v>261625</v>
      </c>
      <c r="G10" s="28">
        <f t="shared" si="2"/>
        <v>261213</v>
      </c>
      <c r="H10" s="25">
        <f>TCO!J24+TCO!J25</f>
        <v>1298400</v>
      </c>
      <c r="I10" s="25">
        <f>(TCO!J$9*(1+$W$5))+TCO!J$10</f>
        <v>1800093.6</v>
      </c>
      <c r="J10" s="28">
        <f t="shared" si="3"/>
        <v>501693.60000000009</v>
      </c>
      <c r="K10" s="26">
        <v>0</v>
      </c>
      <c r="L10" s="26">
        <f>TCO!J11</f>
        <v>0</v>
      </c>
      <c r="M10" s="28">
        <f t="shared" si="4"/>
        <v>0</v>
      </c>
      <c r="N10" s="26">
        <v>0</v>
      </c>
      <c r="O10" s="26">
        <f>TCO!J14</f>
        <v>0</v>
      </c>
      <c r="P10" s="28">
        <f t="shared" si="5"/>
        <v>0</v>
      </c>
      <c r="Q10" s="26">
        <f>'Parametre - Agendové IS'!D113</f>
        <v>43143.57</v>
      </c>
      <c r="R10" s="26">
        <f>'Parametre - Agendové IS'!E113</f>
        <v>0</v>
      </c>
      <c r="S10" s="28">
        <f t="shared" si="0"/>
        <v>-43143.57</v>
      </c>
      <c r="T10" s="25">
        <f t="shared" si="6"/>
        <v>1342055.57</v>
      </c>
      <c r="U10" s="25">
        <f t="shared" si="7"/>
        <v>2061718.6</v>
      </c>
      <c r="V10" s="28">
        <f t="shared" si="8"/>
        <v>719663.03</v>
      </c>
    </row>
    <row r="11" spans="1:23" ht="16">
      <c r="A11" s="24" t="s">
        <v>122</v>
      </c>
      <c r="B11" s="25">
        <f>TCO!K26+TCO!K27</f>
        <v>100</v>
      </c>
      <c r="C11" s="25">
        <f>(TCO!K$12*(1+$W$5))+TCO!K$13</f>
        <v>0</v>
      </c>
      <c r="D11" s="28">
        <f t="shared" si="1"/>
        <v>-100</v>
      </c>
      <c r="E11" s="26">
        <f>TCO!K22+TCO!K23</f>
        <v>412</v>
      </c>
      <c r="F11" s="25">
        <f>(TCO!K$7*(1+$W$5))+TCO!K$8</f>
        <v>261625</v>
      </c>
      <c r="G11" s="28">
        <f t="shared" si="2"/>
        <v>261213</v>
      </c>
      <c r="H11" s="25">
        <f>TCO!K24+TCO!K25</f>
        <v>1298400</v>
      </c>
      <c r="I11" s="25">
        <f>(TCO!K$9*(1+$W$5))+TCO!K$10</f>
        <v>1800093.6</v>
      </c>
      <c r="J11" s="28">
        <f t="shared" si="3"/>
        <v>501693.60000000009</v>
      </c>
      <c r="K11" s="26">
        <v>0</v>
      </c>
      <c r="L11" s="26">
        <f>TCO!K11</f>
        <v>0</v>
      </c>
      <c r="M11" s="28">
        <f t="shared" si="4"/>
        <v>0</v>
      </c>
      <c r="N11" s="26">
        <v>0</v>
      </c>
      <c r="O11" s="26">
        <f>TCO!K14</f>
        <v>0</v>
      </c>
      <c r="P11" s="28">
        <f t="shared" si="5"/>
        <v>0</v>
      </c>
      <c r="Q11" s="26">
        <f>'Parametre - Agendové IS'!D114</f>
        <v>43143.57</v>
      </c>
      <c r="R11" s="26">
        <f>'Parametre - Agendové IS'!E114</f>
        <v>0</v>
      </c>
      <c r="S11" s="28">
        <f t="shared" si="0"/>
        <v>-43143.57</v>
      </c>
      <c r="T11" s="25">
        <f t="shared" si="6"/>
        <v>1342055.57</v>
      </c>
      <c r="U11" s="25">
        <f t="shared" si="7"/>
        <v>2061718.6</v>
      </c>
      <c r="V11" s="28">
        <f t="shared" si="8"/>
        <v>719663.03</v>
      </c>
    </row>
    <row r="12" spans="1:23" ht="16">
      <c r="A12" s="24" t="s">
        <v>123</v>
      </c>
      <c r="B12" s="25">
        <f>TCO!L26+TCO!L27</f>
        <v>100</v>
      </c>
      <c r="C12" s="25">
        <f>(TCO!L$12*(1+$W$5))+TCO!L$13</f>
        <v>0</v>
      </c>
      <c r="D12" s="28">
        <f t="shared" si="1"/>
        <v>-100</v>
      </c>
      <c r="E12" s="26">
        <f>TCO!L22+TCO!L23</f>
        <v>412</v>
      </c>
      <c r="F12" s="25">
        <f>(TCO!L$7*(1+$W$5))+TCO!L$8</f>
        <v>261625</v>
      </c>
      <c r="G12" s="28">
        <f t="shared" si="2"/>
        <v>261213</v>
      </c>
      <c r="H12" s="25">
        <f>TCO!L24+TCO!L25</f>
        <v>1298400</v>
      </c>
      <c r="I12" s="25">
        <f>(TCO!L$9*(1+$W$5))+TCO!L$10</f>
        <v>1800093.6</v>
      </c>
      <c r="J12" s="28">
        <f t="shared" si="3"/>
        <v>501693.60000000009</v>
      </c>
      <c r="K12" s="26">
        <v>0</v>
      </c>
      <c r="L12" s="26">
        <f>TCO!L11</f>
        <v>0</v>
      </c>
      <c r="M12" s="28">
        <f t="shared" si="4"/>
        <v>0</v>
      </c>
      <c r="N12" s="26">
        <v>0</v>
      </c>
      <c r="O12" s="26">
        <f>TCO!L14</f>
        <v>0</v>
      </c>
      <c r="P12" s="28">
        <f t="shared" si="5"/>
        <v>0</v>
      </c>
      <c r="Q12" s="26">
        <f>'Parametre - Agendové IS'!D115</f>
        <v>43143.57</v>
      </c>
      <c r="R12" s="26">
        <f>'Parametre - Agendové IS'!E115</f>
        <v>0</v>
      </c>
      <c r="S12" s="28">
        <f t="shared" si="0"/>
        <v>-43143.57</v>
      </c>
      <c r="T12" s="25">
        <f t="shared" si="6"/>
        <v>1342055.57</v>
      </c>
      <c r="U12" s="25">
        <f t="shared" si="7"/>
        <v>2061718.6</v>
      </c>
      <c r="V12" s="28">
        <f t="shared" si="8"/>
        <v>719663.03</v>
      </c>
    </row>
    <row r="13" spans="1:23" ht="17" thickBot="1">
      <c r="A13" s="38" t="s">
        <v>124</v>
      </c>
      <c r="B13" s="42">
        <f>TCO!M26+TCO!M27</f>
        <v>100</v>
      </c>
      <c r="C13" s="42">
        <f>(TCO!M$12*(1+$W$5))+TCO!M$13</f>
        <v>0</v>
      </c>
      <c r="D13" s="154">
        <f t="shared" si="1"/>
        <v>-100</v>
      </c>
      <c r="E13" s="46">
        <f>TCO!M22+TCO!M23</f>
        <v>412</v>
      </c>
      <c r="F13" s="42">
        <f>(TCO!M$7*(1+$W$5))+TCO!M$8</f>
        <v>261625</v>
      </c>
      <c r="G13" s="154">
        <f t="shared" si="2"/>
        <v>261213</v>
      </c>
      <c r="H13" s="42">
        <f>TCO!M24+TCO!M25</f>
        <v>1298400</v>
      </c>
      <c r="I13" s="42">
        <f>(TCO!M$9*(1+$W$5))+TCO!M$10</f>
        <v>1800093.6</v>
      </c>
      <c r="J13" s="154">
        <f t="shared" si="3"/>
        <v>501693.60000000009</v>
      </c>
      <c r="K13" s="46">
        <v>0</v>
      </c>
      <c r="L13" s="46">
        <f>TCO!M11</f>
        <v>0</v>
      </c>
      <c r="M13" s="154">
        <f t="shared" si="4"/>
        <v>0</v>
      </c>
      <c r="N13" s="46">
        <v>0</v>
      </c>
      <c r="O13" s="46">
        <f>TCO!M14</f>
        <v>0</v>
      </c>
      <c r="P13" s="154">
        <f t="shared" si="5"/>
        <v>0</v>
      </c>
      <c r="Q13" s="46">
        <f>'Parametre - Agendové IS'!D116</f>
        <v>43143.57</v>
      </c>
      <c r="R13" s="46">
        <f>'Parametre - Agendové IS'!E116</f>
        <v>0</v>
      </c>
      <c r="S13" s="154">
        <f t="shared" si="0"/>
        <v>-43143.57</v>
      </c>
      <c r="T13" s="25">
        <f t="shared" si="6"/>
        <v>1342055.57</v>
      </c>
      <c r="U13" s="25">
        <f t="shared" si="7"/>
        <v>2061718.6</v>
      </c>
      <c r="V13" s="154">
        <f t="shared" si="8"/>
        <v>719663.03</v>
      </c>
    </row>
    <row r="14" spans="1:23" ht="16">
      <c r="A14" s="529" t="s">
        <v>81</v>
      </c>
      <c r="B14" s="520">
        <f>SUM(B4:B13)</f>
        <v>1000</v>
      </c>
      <c r="C14" s="518">
        <f t="shared" ref="C14:S14" si="9">SUM(C4:C13)</f>
        <v>0</v>
      </c>
      <c r="D14" s="517">
        <f t="shared" si="9"/>
        <v>-1000</v>
      </c>
      <c r="E14" s="520">
        <f t="shared" si="9"/>
        <v>4120</v>
      </c>
      <c r="F14" s="518">
        <f t="shared" si="9"/>
        <v>3249303.75</v>
      </c>
      <c r="G14" s="517">
        <f t="shared" si="9"/>
        <v>3245183.75</v>
      </c>
      <c r="H14" s="520">
        <f t="shared" si="9"/>
        <v>12984000</v>
      </c>
      <c r="I14" s="518">
        <f t="shared" si="9"/>
        <v>22177684.800000004</v>
      </c>
      <c r="J14" s="517">
        <f t="shared" si="9"/>
        <v>9193684.799999997</v>
      </c>
      <c r="K14" s="520">
        <f t="shared" ref="K14:P14" si="10">SUM(K4:K13)</f>
        <v>0</v>
      </c>
      <c r="L14" s="518">
        <f t="shared" si="10"/>
        <v>0</v>
      </c>
      <c r="M14" s="517">
        <f t="shared" si="10"/>
        <v>0</v>
      </c>
      <c r="N14" s="520">
        <f t="shared" si="10"/>
        <v>0</v>
      </c>
      <c r="O14" s="518">
        <f t="shared" si="10"/>
        <v>480007.29301075271</v>
      </c>
      <c r="P14" s="517">
        <f t="shared" si="10"/>
        <v>480007.29301075271</v>
      </c>
      <c r="Q14" s="520">
        <f t="shared" si="9"/>
        <v>431435.7</v>
      </c>
      <c r="R14" s="518">
        <f t="shared" si="9"/>
        <v>86287.14</v>
      </c>
      <c r="S14" s="517">
        <f t="shared" si="9"/>
        <v>-345148.56</v>
      </c>
      <c r="T14" s="530">
        <f>SUM(T4:T13)</f>
        <v>13420555.700000001</v>
      </c>
      <c r="U14" s="531">
        <f>SUM(U4:U13)</f>
        <v>25993282.983010758</v>
      </c>
      <c r="V14" s="532">
        <f>SUM(V4:V13)</f>
        <v>12572727.283010749</v>
      </c>
    </row>
    <row r="15" spans="1:23" ht="17" thickBot="1">
      <c r="A15" s="529" t="s">
        <v>154</v>
      </c>
      <c r="B15" s="528"/>
      <c r="C15" s="526"/>
      <c r="D15" s="524">
        <f>D4+NPV(Faktory!$D$5,D5:D13)</f>
        <v>-810.7821675644052</v>
      </c>
      <c r="E15" s="528"/>
      <c r="F15" s="526"/>
      <c r="G15" s="524">
        <f>G4+NPV(Faktory!$D$5,G5:G13)</f>
        <v>2751755.5066933427</v>
      </c>
      <c r="H15" s="528"/>
      <c r="I15" s="526"/>
      <c r="J15" s="524">
        <f>J4+NPV(Faktory!$D$5,J5:J13)</f>
        <v>8107136.6446118979</v>
      </c>
      <c r="K15" s="528"/>
      <c r="L15" s="526"/>
      <c r="M15" s="524">
        <f>M4+NPV(Faktory!$D$5,M5:M13)</f>
        <v>0</v>
      </c>
      <c r="N15" s="528"/>
      <c r="O15" s="526"/>
      <c r="P15" s="524">
        <f>P4+NPV(Faktory!$D$5,P5:P13)</f>
        <v>465313.19220430107</v>
      </c>
      <c r="Q15" s="528"/>
      <c r="R15" s="526"/>
      <c r="S15" s="524">
        <f>S4+NPV(Faktory!$D$5,S5:S13)</f>
        <v>-265567.68772495212</v>
      </c>
      <c r="T15" s="533"/>
      <c r="U15" s="534"/>
      <c r="V15" s="535">
        <f>V4+NPV(Faktory!$D$5,V5:V13)</f>
        <v>11057826.873617023</v>
      </c>
    </row>
    <row r="16" spans="1:23">
      <c r="A16" s="651"/>
      <c r="B16" s="651"/>
      <c r="C16" s="651"/>
      <c r="D16" s="146"/>
      <c r="E16" s="651"/>
      <c r="F16" s="651"/>
      <c r="G16" s="146"/>
      <c r="H16" s="651"/>
      <c r="I16" s="651"/>
      <c r="J16" s="146"/>
      <c r="K16" s="146"/>
      <c r="L16" s="146"/>
      <c r="M16" s="146"/>
      <c r="N16" s="146"/>
      <c r="O16" s="146"/>
      <c r="P16" s="146"/>
      <c r="Q16" s="651"/>
      <c r="R16" s="651"/>
      <c r="S16" s="146"/>
      <c r="T16" s="155"/>
      <c r="U16" s="155"/>
      <c r="V16" s="155"/>
    </row>
    <row r="17" spans="1:2">
      <c r="A17" s="651"/>
      <c r="B17" s="102" t="s">
        <v>160</v>
      </c>
    </row>
    <row r="22" spans="1:2">
      <c r="B22" s="156"/>
    </row>
  </sheetData>
  <mergeCells count="10">
    <mergeCell ref="Q1:S1"/>
    <mergeCell ref="T1:V1"/>
    <mergeCell ref="B2:D2"/>
    <mergeCell ref="E2:G2"/>
    <mergeCell ref="H2:J2"/>
    <mergeCell ref="Q2:S2"/>
    <mergeCell ref="N1:P1"/>
    <mergeCell ref="N2:P2"/>
    <mergeCell ref="K2:M2"/>
    <mergeCell ref="B1:M1"/>
  </mergeCells>
  <pageMargins left="0.7" right="0.7" top="0.75" bottom="0.75" header="0.3" footer="0.3"/>
  <pageSetup paperSize="9" scale="2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CC"/>
  </sheetPr>
  <dimension ref="A1:AZ136"/>
  <sheetViews>
    <sheetView zoomScaleNormal="100" zoomScaleSheetLayoutView="100" workbookViewId="0">
      <selection activeCell="G8" sqref="G8"/>
    </sheetView>
  </sheetViews>
  <sheetFormatPr baseColWidth="10" defaultColWidth="9.1640625" defaultRowHeight="15"/>
  <cols>
    <col min="1" max="1" width="19.1640625" style="101" customWidth="1"/>
    <col min="2" max="2" width="9.83203125" style="101" bestFit="1" customWidth="1"/>
    <col min="3" max="3" width="8.83203125" style="101" bestFit="1" customWidth="1"/>
    <col min="4" max="4" width="14.5" style="101" bestFit="1" customWidth="1"/>
    <col min="5" max="5" width="15.6640625" style="101" bestFit="1" customWidth="1"/>
    <col min="6" max="6" width="14.5" style="101" bestFit="1" customWidth="1"/>
    <col min="7" max="7" width="10.6640625" style="101" customWidth="1"/>
    <col min="8" max="8" width="10.6640625" style="454" customWidth="1"/>
    <col min="9" max="12" width="10.6640625" style="101" customWidth="1"/>
    <col min="13" max="13" width="10.6640625" style="455" customWidth="1"/>
    <col min="14" max="14" width="10.6640625" style="454" customWidth="1"/>
    <col min="15" max="15" width="14" style="101" customWidth="1"/>
    <col min="16" max="16" width="10.33203125" style="455" customWidth="1"/>
    <col min="17" max="17" width="10.33203125" style="454" customWidth="1"/>
    <col min="18" max="18" width="10.33203125" style="101" customWidth="1"/>
    <col min="19" max="19" width="10.33203125" style="455" customWidth="1"/>
    <col min="20" max="20" width="10.33203125" style="454" customWidth="1"/>
    <col min="21" max="21" width="10.33203125" style="101" customWidth="1"/>
    <col min="22" max="22" width="10.33203125" style="455" customWidth="1"/>
    <col min="23" max="23" width="10.33203125" style="454" customWidth="1"/>
    <col min="24" max="24" width="10.33203125" style="101" customWidth="1"/>
    <col min="25" max="25" width="10.33203125" style="455" customWidth="1"/>
    <col min="26" max="26" width="10.33203125" style="454" customWidth="1"/>
    <col min="27" max="27" width="10.33203125" style="101" customWidth="1"/>
    <col min="28" max="28" width="10.33203125" style="455" customWidth="1"/>
    <col min="29" max="29" width="10.33203125" style="454" customWidth="1"/>
    <col min="30" max="30" width="10.33203125" style="101" customWidth="1"/>
    <col min="31" max="31" width="10.33203125" style="455" customWidth="1"/>
    <col min="32" max="32" width="10.33203125" style="454" customWidth="1"/>
    <col min="33" max="33" width="10.33203125" style="101" customWidth="1"/>
    <col min="34" max="34" width="10.33203125" style="455" customWidth="1"/>
    <col min="35" max="35" width="10.33203125" style="454" customWidth="1"/>
    <col min="36" max="36" width="10.33203125" style="101" customWidth="1"/>
    <col min="37" max="37" width="10.33203125" style="455" customWidth="1"/>
    <col min="38" max="38" width="10.33203125" style="454" customWidth="1"/>
    <col min="39" max="39" width="10.33203125" style="101" customWidth="1"/>
    <col min="40" max="40" width="10.33203125" style="455" customWidth="1"/>
    <col min="41" max="41" width="10.33203125" style="454" customWidth="1"/>
    <col min="42" max="42" width="10.33203125" style="101" customWidth="1"/>
    <col min="43" max="43" width="10.33203125" style="455" customWidth="1"/>
    <col min="44" max="44" width="10.33203125" style="454" customWidth="1"/>
    <col min="45" max="45" width="10.33203125" style="101" customWidth="1"/>
    <col min="46" max="46" width="10.33203125" style="455" customWidth="1"/>
    <col min="47" max="47" width="10.33203125" style="454" customWidth="1"/>
    <col min="48" max="48" width="10.33203125" style="101" customWidth="1"/>
    <col min="49" max="49" width="10.33203125" style="455" customWidth="1"/>
    <col min="50" max="50" width="10.33203125" style="454" customWidth="1"/>
    <col min="51" max="51" width="10.33203125" style="101" customWidth="1"/>
    <col min="52" max="52" width="14.6640625" style="336" customWidth="1"/>
    <col min="53" max="55" width="9.1640625" style="101"/>
    <col min="56" max="56" width="12.5" style="101" bestFit="1" customWidth="1"/>
    <col min="57" max="291" width="9.1640625" style="101"/>
    <col min="292" max="292" width="1.6640625" style="101" customWidth="1"/>
    <col min="293" max="293" width="19.1640625" style="101" customWidth="1"/>
    <col min="294" max="294" width="35.1640625" style="101" customWidth="1"/>
    <col min="295" max="295" width="9.83203125" style="101" bestFit="1" customWidth="1"/>
    <col min="296" max="296" width="8.83203125" style="101" bestFit="1" customWidth="1"/>
    <col min="297" max="307" width="10.33203125" style="101" customWidth="1"/>
    <col min="308" max="547" width="9.1640625" style="101"/>
    <col min="548" max="548" width="1.6640625" style="101" customWidth="1"/>
    <col min="549" max="549" width="19.1640625" style="101" customWidth="1"/>
    <col min="550" max="550" width="35.1640625" style="101" customWidth="1"/>
    <col min="551" max="551" width="9.83203125" style="101" bestFit="1" customWidth="1"/>
    <col min="552" max="552" width="8.83203125" style="101" bestFit="1" customWidth="1"/>
    <col min="553" max="563" width="10.33203125" style="101" customWidth="1"/>
    <col min="564" max="803" width="9.1640625" style="101"/>
    <col min="804" max="804" width="1.6640625" style="101" customWidth="1"/>
    <col min="805" max="805" width="19.1640625" style="101" customWidth="1"/>
    <col min="806" max="806" width="35.1640625" style="101" customWidth="1"/>
    <col min="807" max="807" width="9.83203125" style="101" bestFit="1" customWidth="1"/>
    <col min="808" max="808" width="8.83203125" style="101" bestFit="1" customWidth="1"/>
    <col min="809" max="819" width="10.33203125" style="101" customWidth="1"/>
    <col min="820" max="1059" width="9.1640625" style="101"/>
    <col min="1060" max="1060" width="1.6640625" style="101" customWidth="1"/>
    <col min="1061" max="1061" width="19.1640625" style="101" customWidth="1"/>
    <col min="1062" max="1062" width="35.1640625" style="101" customWidth="1"/>
    <col min="1063" max="1063" width="9.83203125" style="101" bestFit="1" customWidth="1"/>
    <col min="1064" max="1064" width="8.83203125" style="101" bestFit="1" customWidth="1"/>
    <col min="1065" max="1075" width="10.33203125" style="101" customWidth="1"/>
    <col min="1076" max="1315" width="9.1640625" style="101"/>
    <col min="1316" max="1316" width="1.6640625" style="101" customWidth="1"/>
    <col min="1317" max="1317" width="19.1640625" style="101" customWidth="1"/>
    <col min="1318" max="1318" width="35.1640625" style="101" customWidth="1"/>
    <col min="1319" max="1319" width="9.83203125" style="101" bestFit="1" customWidth="1"/>
    <col min="1320" max="1320" width="8.83203125" style="101" bestFit="1" customWidth="1"/>
    <col min="1321" max="1331" width="10.33203125" style="101" customWidth="1"/>
    <col min="1332" max="1571" width="9.1640625" style="101"/>
    <col min="1572" max="1572" width="1.6640625" style="101" customWidth="1"/>
    <col min="1573" max="1573" width="19.1640625" style="101" customWidth="1"/>
    <col min="1574" max="1574" width="35.1640625" style="101" customWidth="1"/>
    <col min="1575" max="1575" width="9.83203125" style="101" bestFit="1" customWidth="1"/>
    <col min="1576" max="1576" width="8.83203125" style="101" bestFit="1" customWidth="1"/>
    <col min="1577" max="1587" width="10.33203125" style="101" customWidth="1"/>
    <col min="1588" max="1827" width="9.1640625" style="101"/>
    <col min="1828" max="1828" width="1.6640625" style="101" customWidth="1"/>
    <col min="1829" max="1829" width="19.1640625" style="101" customWidth="1"/>
    <col min="1830" max="1830" width="35.1640625" style="101" customWidth="1"/>
    <col min="1831" max="1831" width="9.83203125" style="101" bestFit="1" customWidth="1"/>
    <col min="1832" max="1832" width="8.83203125" style="101" bestFit="1" customWidth="1"/>
    <col min="1833" max="1843" width="10.33203125" style="101" customWidth="1"/>
    <col min="1844" max="2083" width="9.1640625" style="101"/>
    <col min="2084" max="2084" width="1.6640625" style="101" customWidth="1"/>
    <col min="2085" max="2085" width="19.1640625" style="101" customWidth="1"/>
    <col min="2086" max="2086" width="35.1640625" style="101" customWidth="1"/>
    <col min="2087" max="2087" width="9.83203125" style="101" bestFit="1" customWidth="1"/>
    <col min="2088" max="2088" width="8.83203125" style="101" bestFit="1" customWidth="1"/>
    <col min="2089" max="2099" width="10.33203125" style="101" customWidth="1"/>
    <col min="2100" max="2339" width="9.1640625" style="101"/>
    <col min="2340" max="2340" width="1.6640625" style="101" customWidth="1"/>
    <col min="2341" max="2341" width="19.1640625" style="101" customWidth="1"/>
    <col min="2342" max="2342" width="35.1640625" style="101" customWidth="1"/>
    <col min="2343" max="2343" width="9.83203125" style="101" bestFit="1" customWidth="1"/>
    <col min="2344" max="2344" width="8.83203125" style="101" bestFit="1" customWidth="1"/>
    <col min="2345" max="2355" width="10.33203125" style="101" customWidth="1"/>
    <col min="2356" max="2595" width="9.1640625" style="101"/>
    <col min="2596" max="2596" width="1.6640625" style="101" customWidth="1"/>
    <col min="2597" max="2597" width="19.1640625" style="101" customWidth="1"/>
    <col min="2598" max="2598" width="35.1640625" style="101" customWidth="1"/>
    <col min="2599" max="2599" width="9.83203125" style="101" bestFit="1" customWidth="1"/>
    <col min="2600" max="2600" width="8.83203125" style="101" bestFit="1" customWidth="1"/>
    <col min="2601" max="2611" width="10.33203125" style="101" customWidth="1"/>
    <col min="2612" max="2851" width="9.1640625" style="101"/>
    <col min="2852" max="2852" width="1.6640625" style="101" customWidth="1"/>
    <col min="2853" max="2853" width="19.1640625" style="101" customWidth="1"/>
    <col min="2854" max="2854" width="35.1640625" style="101" customWidth="1"/>
    <col min="2855" max="2855" width="9.83203125" style="101" bestFit="1" customWidth="1"/>
    <col min="2856" max="2856" width="8.83203125" style="101" bestFit="1" customWidth="1"/>
    <col min="2857" max="2867" width="10.33203125" style="101" customWidth="1"/>
    <col min="2868" max="3107" width="9.1640625" style="101"/>
    <col min="3108" max="3108" width="1.6640625" style="101" customWidth="1"/>
    <col min="3109" max="3109" width="19.1640625" style="101" customWidth="1"/>
    <col min="3110" max="3110" width="35.1640625" style="101" customWidth="1"/>
    <col min="3111" max="3111" width="9.83203125" style="101" bestFit="1" customWidth="1"/>
    <col min="3112" max="3112" width="8.83203125" style="101" bestFit="1" customWidth="1"/>
    <col min="3113" max="3123" width="10.33203125" style="101" customWidth="1"/>
    <col min="3124" max="3363" width="9.1640625" style="101"/>
    <col min="3364" max="3364" width="1.6640625" style="101" customWidth="1"/>
    <col min="3365" max="3365" width="19.1640625" style="101" customWidth="1"/>
    <col min="3366" max="3366" width="35.1640625" style="101" customWidth="1"/>
    <col min="3367" max="3367" width="9.83203125" style="101" bestFit="1" customWidth="1"/>
    <col min="3368" max="3368" width="8.83203125" style="101" bestFit="1" customWidth="1"/>
    <col min="3369" max="3379" width="10.33203125" style="101" customWidth="1"/>
    <col min="3380" max="3619" width="9.1640625" style="101"/>
    <col min="3620" max="3620" width="1.6640625" style="101" customWidth="1"/>
    <col min="3621" max="3621" width="19.1640625" style="101" customWidth="1"/>
    <col min="3622" max="3622" width="35.1640625" style="101" customWidth="1"/>
    <col min="3623" max="3623" width="9.83203125" style="101" bestFit="1" customWidth="1"/>
    <col min="3624" max="3624" width="8.83203125" style="101" bestFit="1" customWidth="1"/>
    <col min="3625" max="3635" width="10.33203125" style="101" customWidth="1"/>
    <col min="3636" max="3875" width="9.1640625" style="101"/>
    <col min="3876" max="3876" width="1.6640625" style="101" customWidth="1"/>
    <col min="3877" max="3877" width="19.1640625" style="101" customWidth="1"/>
    <col min="3878" max="3878" width="35.1640625" style="101" customWidth="1"/>
    <col min="3879" max="3879" width="9.83203125" style="101" bestFit="1" customWidth="1"/>
    <col min="3880" max="3880" width="8.83203125" style="101" bestFit="1" customWidth="1"/>
    <col min="3881" max="3891" width="10.33203125" style="101" customWidth="1"/>
    <col min="3892" max="4131" width="9.1640625" style="101"/>
    <col min="4132" max="4132" width="1.6640625" style="101" customWidth="1"/>
    <col min="4133" max="4133" width="19.1640625" style="101" customWidth="1"/>
    <col min="4134" max="4134" width="35.1640625" style="101" customWidth="1"/>
    <col min="4135" max="4135" width="9.83203125" style="101" bestFit="1" customWidth="1"/>
    <col min="4136" max="4136" width="8.83203125" style="101" bestFit="1" customWidth="1"/>
    <col min="4137" max="4147" width="10.33203125" style="101" customWidth="1"/>
    <col min="4148" max="4387" width="9.1640625" style="101"/>
    <col min="4388" max="4388" width="1.6640625" style="101" customWidth="1"/>
    <col min="4389" max="4389" width="19.1640625" style="101" customWidth="1"/>
    <col min="4390" max="4390" width="35.1640625" style="101" customWidth="1"/>
    <col min="4391" max="4391" width="9.83203125" style="101" bestFit="1" customWidth="1"/>
    <col min="4392" max="4392" width="8.83203125" style="101" bestFit="1" customWidth="1"/>
    <col min="4393" max="4403" width="10.33203125" style="101" customWidth="1"/>
    <col min="4404" max="4643" width="9.1640625" style="101"/>
    <col min="4644" max="4644" width="1.6640625" style="101" customWidth="1"/>
    <col min="4645" max="4645" width="19.1640625" style="101" customWidth="1"/>
    <col min="4646" max="4646" width="35.1640625" style="101" customWidth="1"/>
    <col min="4647" max="4647" width="9.83203125" style="101" bestFit="1" customWidth="1"/>
    <col min="4648" max="4648" width="8.83203125" style="101" bestFit="1" customWidth="1"/>
    <col min="4649" max="4659" width="10.33203125" style="101" customWidth="1"/>
    <col min="4660" max="4899" width="9.1640625" style="101"/>
    <col min="4900" max="4900" width="1.6640625" style="101" customWidth="1"/>
    <col min="4901" max="4901" width="19.1640625" style="101" customWidth="1"/>
    <col min="4902" max="4902" width="35.1640625" style="101" customWidth="1"/>
    <col min="4903" max="4903" width="9.83203125" style="101" bestFit="1" customWidth="1"/>
    <col min="4904" max="4904" width="8.83203125" style="101" bestFit="1" customWidth="1"/>
    <col min="4905" max="4915" width="10.33203125" style="101" customWidth="1"/>
    <col min="4916" max="5155" width="9.1640625" style="101"/>
    <col min="5156" max="5156" width="1.6640625" style="101" customWidth="1"/>
    <col min="5157" max="5157" width="19.1640625" style="101" customWidth="1"/>
    <col min="5158" max="5158" width="35.1640625" style="101" customWidth="1"/>
    <col min="5159" max="5159" width="9.83203125" style="101" bestFit="1" customWidth="1"/>
    <col min="5160" max="5160" width="8.83203125" style="101" bestFit="1" customWidth="1"/>
    <col min="5161" max="5171" width="10.33203125" style="101" customWidth="1"/>
    <col min="5172" max="5411" width="9.1640625" style="101"/>
    <col min="5412" max="5412" width="1.6640625" style="101" customWidth="1"/>
    <col min="5413" max="5413" width="19.1640625" style="101" customWidth="1"/>
    <col min="5414" max="5414" width="35.1640625" style="101" customWidth="1"/>
    <col min="5415" max="5415" width="9.83203125" style="101" bestFit="1" customWidth="1"/>
    <col min="5416" max="5416" width="8.83203125" style="101" bestFit="1" customWidth="1"/>
    <col min="5417" max="5427" width="10.33203125" style="101" customWidth="1"/>
    <col min="5428" max="5667" width="9.1640625" style="101"/>
    <col min="5668" max="5668" width="1.6640625" style="101" customWidth="1"/>
    <col min="5669" max="5669" width="19.1640625" style="101" customWidth="1"/>
    <col min="5670" max="5670" width="35.1640625" style="101" customWidth="1"/>
    <col min="5671" max="5671" width="9.83203125" style="101" bestFit="1" customWidth="1"/>
    <col min="5672" max="5672" width="8.83203125" style="101" bestFit="1" customWidth="1"/>
    <col min="5673" max="5683" width="10.33203125" style="101" customWidth="1"/>
    <col min="5684" max="5923" width="9.1640625" style="101"/>
    <col min="5924" max="5924" width="1.6640625" style="101" customWidth="1"/>
    <col min="5925" max="5925" width="19.1640625" style="101" customWidth="1"/>
    <col min="5926" max="5926" width="35.1640625" style="101" customWidth="1"/>
    <col min="5927" max="5927" width="9.83203125" style="101" bestFit="1" customWidth="1"/>
    <col min="5928" max="5928" width="8.83203125" style="101" bestFit="1" customWidth="1"/>
    <col min="5929" max="5939" width="10.33203125" style="101" customWidth="1"/>
    <col min="5940" max="6179" width="9.1640625" style="101"/>
    <col min="6180" max="6180" width="1.6640625" style="101" customWidth="1"/>
    <col min="6181" max="6181" width="19.1640625" style="101" customWidth="1"/>
    <col min="6182" max="6182" width="35.1640625" style="101" customWidth="1"/>
    <col min="6183" max="6183" width="9.83203125" style="101" bestFit="1" customWidth="1"/>
    <col min="6184" max="6184" width="8.83203125" style="101" bestFit="1" customWidth="1"/>
    <col min="6185" max="6195" width="10.33203125" style="101" customWidth="1"/>
    <col min="6196" max="6435" width="9.1640625" style="101"/>
    <col min="6436" max="6436" width="1.6640625" style="101" customWidth="1"/>
    <col min="6437" max="6437" width="19.1640625" style="101" customWidth="1"/>
    <col min="6438" max="6438" width="35.1640625" style="101" customWidth="1"/>
    <col min="6439" max="6439" width="9.83203125" style="101" bestFit="1" customWidth="1"/>
    <col min="6440" max="6440" width="8.83203125" style="101" bestFit="1" customWidth="1"/>
    <col min="6441" max="6451" width="10.33203125" style="101" customWidth="1"/>
    <col min="6452" max="6691" width="9.1640625" style="101"/>
    <col min="6692" max="6692" width="1.6640625" style="101" customWidth="1"/>
    <col min="6693" max="6693" width="19.1640625" style="101" customWidth="1"/>
    <col min="6694" max="6694" width="35.1640625" style="101" customWidth="1"/>
    <col min="6695" max="6695" width="9.83203125" style="101" bestFit="1" customWidth="1"/>
    <col min="6696" max="6696" width="8.83203125" style="101" bestFit="1" customWidth="1"/>
    <col min="6697" max="6707" width="10.33203125" style="101" customWidth="1"/>
    <col min="6708" max="6947" width="9.1640625" style="101"/>
    <col min="6948" max="6948" width="1.6640625" style="101" customWidth="1"/>
    <col min="6949" max="6949" width="19.1640625" style="101" customWidth="1"/>
    <col min="6950" max="6950" width="35.1640625" style="101" customWidth="1"/>
    <col min="6951" max="6951" width="9.83203125" style="101" bestFit="1" customWidth="1"/>
    <col min="6952" max="6952" width="8.83203125" style="101" bestFit="1" customWidth="1"/>
    <col min="6953" max="6963" width="10.33203125" style="101" customWidth="1"/>
    <col min="6964" max="7203" width="9.1640625" style="101"/>
    <col min="7204" max="7204" width="1.6640625" style="101" customWidth="1"/>
    <col min="7205" max="7205" width="19.1640625" style="101" customWidth="1"/>
    <col min="7206" max="7206" width="35.1640625" style="101" customWidth="1"/>
    <col min="7207" max="7207" width="9.83203125" style="101" bestFit="1" customWidth="1"/>
    <col min="7208" max="7208" width="8.83203125" style="101" bestFit="1" customWidth="1"/>
    <col min="7209" max="7219" width="10.33203125" style="101" customWidth="1"/>
    <col min="7220" max="7459" width="9.1640625" style="101"/>
    <col min="7460" max="7460" width="1.6640625" style="101" customWidth="1"/>
    <col min="7461" max="7461" width="19.1640625" style="101" customWidth="1"/>
    <col min="7462" max="7462" width="35.1640625" style="101" customWidth="1"/>
    <col min="7463" max="7463" width="9.83203125" style="101" bestFit="1" customWidth="1"/>
    <col min="7464" max="7464" width="8.83203125" style="101" bestFit="1" customWidth="1"/>
    <col min="7465" max="7475" width="10.33203125" style="101" customWidth="1"/>
    <col min="7476" max="7715" width="9.1640625" style="101"/>
    <col min="7716" max="7716" width="1.6640625" style="101" customWidth="1"/>
    <col min="7717" max="7717" width="19.1640625" style="101" customWidth="1"/>
    <col min="7718" max="7718" width="35.1640625" style="101" customWidth="1"/>
    <col min="7719" max="7719" width="9.83203125" style="101" bestFit="1" customWidth="1"/>
    <col min="7720" max="7720" width="8.83203125" style="101" bestFit="1" customWidth="1"/>
    <col min="7721" max="7731" width="10.33203125" style="101" customWidth="1"/>
    <col min="7732" max="7971" width="9.1640625" style="101"/>
    <col min="7972" max="7972" width="1.6640625" style="101" customWidth="1"/>
    <col min="7973" max="7973" width="19.1640625" style="101" customWidth="1"/>
    <col min="7974" max="7974" width="35.1640625" style="101" customWidth="1"/>
    <col min="7975" max="7975" width="9.83203125" style="101" bestFit="1" customWidth="1"/>
    <col min="7976" max="7976" width="8.83203125" style="101" bestFit="1" customWidth="1"/>
    <col min="7977" max="7987" width="10.33203125" style="101" customWidth="1"/>
    <col min="7988" max="8227" width="9.1640625" style="101"/>
    <col min="8228" max="8228" width="1.6640625" style="101" customWidth="1"/>
    <col min="8229" max="8229" width="19.1640625" style="101" customWidth="1"/>
    <col min="8230" max="8230" width="35.1640625" style="101" customWidth="1"/>
    <col min="8231" max="8231" width="9.83203125" style="101" bestFit="1" customWidth="1"/>
    <col min="8232" max="8232" width="8.83203125" style="101" bestFit="1" customWidth="1"/>
    <col min="8233" max="8243" width="10.33203125" style="101" customWidth="1"/>
    <col min="8244" max="8483" width="9.1640625" style="101"/>
    <col min="8484" max="8484" width="1.6640625" style="101" customWidth="1"/>
    <col min="8485" max="8485" width="19.1640625" style="101" customWidth="1"/>
    <col min="8486" max="8486" width="35.1640625" style="101" customWidth="1"/>
    <col min="8487" max="8487" width="9.83203125" style="101" bestFit="1" customWidth="1"/>
    <col min="8488" max="8488" width="8.83203125" style="101" bestFit="1" customWidth="1"/>
    <col min="8489" max="8499" width="10.33203125" style="101" customWidth="1"/>
    <col min="8500" max="8739" width="9.1640625" style="101"/>
    <col min="8740" max="8740" width="1.6640625" style="101" customWidth="1"/>
    <col min="8741" max="8741" width="19.1640625" style="101" customWidth="1"/>
    <col min="8742" max="8742" width="35.1640625" style="101" customWidth="1"/>
    <col min="8743" max="8743" width="9.83203125" style="101" bestFit="1" customWidth="1"/>
    <col min="8744" max="8744" width="8.83203125" style="101" bestFit="1" customWidth="1"/>
    <col min="8745" max="8755" width="10.33203125" style="101" customWidth="1"/>
    <col min="8756" max="8995" width="9.1640625" style="101"/>
    <col min="8996" max="8996" width="1.6640625" style="101" customWidth="1"/>
    <col min="8997" max="8997" width="19.1640625" style="101" customWidth="1"/>
    <col min="8998" max="8998" width="35.1640625" style="101" customWidth="1"/>
    <col min="8999" max="8999" width="9.83203125" style="101" bestFit="1" customWidth="1"/>
    <col min="9000" max="9000" width="8.83203125" style="101" bestFit="1" customWidth="1"/>
    <col min="9001" max="9011" width="10.33203125" style="101" customWidth="1"/>
    <col min="9012" max="9251" width="9.1640625" style="101"/>
    <col min="9252" max="9252" width="1.6640625" style="101" customWidth="1"/>
    <col min="9253" max="9253" width="19.1640625" style="101" customWidth="1"/>
    <col min="9254" max="9254" width="35.1640625" style="101" customWidth="1"/>
    <col min="9255" max="9255" width="9.83203125" style="101" bestFit="1" customWidth="1"/>
    <col min="9256" max="9256" width="8.83203125" style="101" bestFit="1" customWidth="1"/>
    <col min="9257" max="9267" width="10.33203125" style="101" customWidth="1"/>
    <col min="9268" max="9507" width="9.1640625" style="101"/>
    <col min="9508" max="9508" width="1.6640625" style="101" customWidth="1"/>
    <col min="9509" max="9509" width="19.1640625" style="101" customWidth="1"/>
    <col min="9510" max="9510" width="35.1640625" style="101" customWidth="1"/>
    <col min="9511" max="9511" width="9.83203125" style="101" bestFit="1" customWidth="1"/>
    <col min="9512" max="9512" width="8.83203125" style="101" bestFit="1" customWidth="1"/>
    <col min="9513" max="9523" width="10.33203125" style="101" customWidth="1"/>
    <col min="9524" max="9763" width="9.1640625" style="101"/>
    <col min="9764" max="9764" width="1.6640625" style="101" customWidth="1"/>
    <col min="9765" max="9765" width="19.1640625" style="101" customWidth="1"/>
    <col min="9766" max="9766" width="35.1640625" style="101" customWidth="1"/>
    <col min="9767" max="9767" width="9.83203125" style="101" bestFit="1" customWidth="1"/>
    <col min="9768" max="9768" width="8.83203125" style="101" bestFit="1" customWidth="1"/>
    <col min="9769" max="9779" width="10.33203125" style="101" customWidth="1"/>
    <col min="9780" max="10019" width="9.1640625" style="101"/>
    <col min="10020" max="10020" width="1.6640625" style="101" customWidth="1"/>
    <col min="10021" max="10021" width="19.1640625" style="101" customWidth="1"/>
    <col min="10022" max="10022" width="35.1640625" style="101" customWidth="1"/>
    <col min="10023" max="10023" width="9.83203125" style="101" bestFit="1" customWidth="1"/>
    <col min="10024" max="10024" width="8.83203125" style="101" bestFit="1" customWidth="1"/>
    <col min="10025" max="10035" width="10.33203125" style="101" customWidth="1"/>
    <col min="10036" max="10275" width="9.1640625" style="101"/>
    <col min="10276" max="10276" width="1.6640625" style="101" customWidth="1"/>
    <col min="10277" max="10277" width="19.1640625" style="101" customWidth="1"/>
    <col min="10278" max="10278" width="35.1640625" style="101" customWidth="1"/>
    <col min="10279" max="10279" width="9.83203125" style="101" bestFit="1" customWidth="1"/>
    <col min="10280" max="10280" width="8.83203125" style="101" bestFit="1" customWidth="1"/>
    <col min="10281" max="10291" width="10.33203125" style="101" customWidth="1"/>
    <col min="10292" max="10531" width="9.1640625" style="101"/>
    <col min="10532" max="10532" width="1.6640625" style="101" customWidth="1"/>
    <col min="10533" max="10533" width="19.1640625" style="101" customWidth="1"/>
    <col min="10534" max="10534" width="35.1640625" style="101" customWidth="1"/>
    <col min="10535" max="10535" width="9.83203125" style="101" bestFit="1" customWidth="1"/>
    <col min="10536" max="10536" width="8.83203125" style="101" bestFit="1" customWidth="1"/>
    <col min="10537" max="10547" width="10.33203125" style="101" customWidth="1"/>
    <col min="10548" max="10787" width="9.1640625" style="101"/>
    <col min="10788" max="10788" width="1.6640625" style="101" customWidth="1"/>
    <col min="10789" max="10789" width="19.1640625" style="101" customWidth="1"/>
    <col min="10790" max="10790" width="35.1640625" style="101" customWidth="1"/>
    <col min="10791" max="10791" width="9.83203125" style="101" bestFit="1" customWidth="1"/>
    <col min="10792" max="10792" width="8.83203125" style="101" bestFit="1" customWidth="1"/>
    <col min="10793" max="10803" width="10.33203125" style="101" customWidth="1"/>
    <col min="10804" max="11043" width="9.1640625" style="101"/>
    <col min="11044" max="11044" width="1.6640625" style="101" customWidth="1"/>
    <col min="11045" max="11045" width="19.1640625" style="101" customWidth="1"/>
    <col min="11046" max="11046" width="35.1640625" style="101" customWidth="1"/>
    <col min="11047" max="11047" width="9.83203125" style="101" bestFit="1" customWidth="1"/>
    <col min="11048" max="11048" width="8.83203125" style="101" bestFit="1" customWidth="1"/>
    <col min="11049" max="11059" width="10.33203125" style="101" customWidth="1"/>
    <col min="11060" max="11299" width="9.1640625" style="101"/>
    <col min="11300" max="11300" width="1.6640625" style="101" customWidth="1"/>
    <col min="11301" max="11301" width="19.1640625" style="101" customWidth="1"/>
    <col min="11302" max="11302" width="35.1640625" style="101" customWidth="1"/>
    <col min="11303" max="11303" width="9.83203125" style="101" bestFit="1" customWidth="1"/>
    <col min="11304" max="11304" width="8.83203125" style="101" bestFit="1" customWidth="1"/>
    <col min="11305" max="11315" width="10.33203125" style="101" customWidth="1"/>
    <col min="11316" max="11555" width="9.1640625" style="101"/>
    <col min="11556" max="11556" width="1.6640625" style="101" customWidth="1"/>
    <col min="11557" max="11557" width="19.1640625" style="101" customWidth="1"/>
    <col min="11558" max="11558" width="35.1640625" style="101" customWidth="1"/>
    <col min="11559" max="11559" width="9.83203125" style="101" bestFit="1" customWidth="1"/>
    <col min="11560" max="11560" width="8.83203125" style="101" bestFit="1" customWidth="1"/>
    <col min="11561" max="11571" width="10.33203125" style="101" customWidth="1"/>
    <col min="11572" max="11811" width="9.1640625" style="101"/>
    <col min="11812" max="11812" width="1.6640625" style="101" customWidth="1"/>
    <col min="11813" max="11813" width="19.1640625" style="101" customWidth="1"/>
    <col min="11814" max="11814" width="35.1640625" style="101" customWidth="1"/>
    <col min="11815" max="11815" width="9.83203125" style="101" bestFit="1" customWidth="1"/>
    <col min="11816" max="11816" width="8.83203125" style="101" bestFit="1" customWidth="1"/>
    <col min="11817" max="11827" width="10.33203125" style="101" customWidth="1"/>
    <col min="11828" max="12067" width="9.1640625" style="101"/>
    <col min="12068" max="12068" width="1.6640625" style="101" customWidth="1"/>
    <col min="12069" max="12069" width="19.1640625" style="101" customWidth="1"/>
    <col min="12070" max="12070" width="35.1640625" style="101" customWidth="1"/>
    <col min="12071" max="12071" width="9.83203125" style="101" bestFit="1" customWidth="1"/>
    <col min="12072" max="12072" width="8.83203125" style="101" bestFit="1" customWidth="1"/>
    <col min="12073" max="12083" width="10.33203125" style="101" customWidth="1"/>
    <col min="12084" max="12323" width="9.1640625" style="101"/>
    <col min="12324" max="12324" width="1.6640625" style="101" customWidth="1"/>
    <col min="12325" max="12325" width="19.1640625" style="101" customWidth="1"/>
    <col min="12326" max="12326" width="35.1640625" style="101" customWidth="1"/>
    <col min="12327" max="12327" width="9.83203125" style="101" bestFit="1" customWidth="1"/>
    <col min="12328" max="12328" width="8.83203125" style="101" bestFit="1" customWidth="1"/>
    <col min="12329" max="12339" width="10.33203125" style="101" customWidth="1"/>
    <col min="12340" max="12579" width="9.1640625" style="101"/>
    <col min="12580" max="12580" width="1.6640625" style="101" customWidth="1"/>
    <col min="12581" max="12581" width="19.1640625" style="101" customWidth="1"/>
    <col min="12582" max="12582" width="35.1640625" style="101" customWidth="1"/>
    <col min="12583" max="12583" width="9.83203125" style="101" bestFit="1" customWidth="1"/>
    <col min="12584" max="12584" width="8.83203125" style="101" bestFit="1" customWidth="1"/>
    <col min="12585" max="12595" width="10.33203125" style="101" customWidth="1"/>
    <col min="12596" max="12835" width="9.1640625" style="101"/>
    <col min="12836" max="12836" width="1.6640625" style="101" customWidth="1"/>
    <col min="12837" max="12837" width="19.1640625" style="101" customWidth="1"/>
    <col min="12838" max="12838" width="35.1640625" style="101" customWidth="1"/>
    <col min="12839" max="12839" width="9.83203125" style="101" bestFit="1" customWidth="1"/>
    <col min="12840" max="12840" width="8.83203125" style="101" bestFit="1" customWidth="1"/>
    <col min="12841" max="12851" width="10.33203125" style="101" customWidth="1"/>
    <col min="12852" max="13091" width="9.1640625" style="101"/>
    <col min="13092" max="13092" width="1.6640625" style="101" customWidth="1"/>
    <col min="13093" max="13093" width="19.1640625" style="101" customWidth="1"/>
    <col min="13094" max="13094" width="35.1640625" style="101" customWidth="1"/>
    <col min="13095" max="13095" width="9.83203125" style="101" bestFit="1" customWidth="1"/>
    <col min="13096" max="13096" width="8.83203125" style="101" bestFit="1" customWidth="1"/>
    <col min="13097" max="13107" width="10.33203125" style="101" customWidth="1"/>
    <col min="13108" max="13347" width="9.1640625" style="101"/>
    <col min="13348" max="13348" width="1.6640625" style="101" customWidth="1"/>
    <col min="13349" max="13349" width="19.1640625" style="101" customWidth="1"/>
    <col min="13350" max="13350" width="35.1640625" style="101" customWidth="1"/>
    <col min="13351" max="13351" width="9.83203125" style="101" bestFit="1" customWidth="1"/>
    <col min="13352" max="13352" width="8.83203125" style="101" bestFit="1" customWidth="1"/>
    <col min="13353" max="13363" width="10.33203125" style="101" customWidth="1"/>
    <col min="13364" max="13603" width="9.1640625" style="101"/>
    <col min="13604" max="13604" width="1.6640625" style="101" customWidth="1"/>
    <col min="13605" max="13605" width="19.1640625" style="101" customWidth="1"/>
    <col min="13606" max="13606" width="35.1640625" style="101" customWidth="1"/>
    <col min="13607" max="13607" width="9.83203125" style="101" bestFit="1" customWidth="1"/>
    <col min="13608" max="13608" width="8.83203125" style="101" bestFit="1" customWidth="1"/>
    <col min="13609" max="13619" width="10.33203125" style="101" customWidth="1"/>
    <col min="13620" max="13859" width="9.1640625" style="101"/>
    <col min="13860" max="13860" width="1.6640625" style="101" customWidth="1"/>
    <col min="13861" max="13861" width="19.1640625" style="101" customWidth="1"/>
    <col min="13862" max="13862" width="35.1640625" style="101" customWidth="1"/>
    <col min="13863" max="13863" width="9.83203125" style="101" bestFit="1" customWidth="1"/>
    <col min="13864" max="13864" width="8.83203125" style="101" bestFit="1" customWidth="1"/>
    <col min="13865" max="13875" width="10.33203125" style="101" customWidth="1"/>
    <col min="13876" max="14115" width="9.1640625" style="101"/>
    <col min="14116" max="14116" width="1.6640625" style="101" customWidth="1"/>
    <col min="14117" max="14117" width="19.1640625" style="101" customWidth="1"/>
    <col min="14118" max="14118" width="35.1640625" style="101" customWidth="1"/>
    <col min="14119" max="14119" width="9.83203125" style="101" bestFit="1" customWidth="1"/>
    <col min="14120" max="14120" width="8.83203125" style="101" bestFit="1" customWidth="1"/>
    <col min="14121" max="14131" width="10.33203125" style="101" customWidth="1"/>
    <col min="14132" max="14371" width="9.1640625" style="101"/>
    <col min="14372" max="14372" width="1.6640625" style="101" customWidth="1"/>
    <col min="14373" max="14373" width="19.1640625" style="101" customWidth="1"/>
    <col min="14374" max="14374" width="35.1640625" style="101" customWidth="1"/>
    <col min="14375" max="14375" width="9.83203125" style="101" bestFit="1" customWidth="1"/>
    <col min="14376" max="14376" width="8.83203125" style="101" bestFit="1" customWidth="1"/>
    <col min="14377" max="14387" width="10.33203125" style="101" customWidth="1"/>
    <col min="14388" max="14627" width="9.1640625" style="101"/>
    <col min="14628" max="14628" width="1.6640625" style="101" customWidth="1"/>
    <col min="14629" max="14629" width="19.1640625" style="101" customWidth="1"/>
    <col min="14630" max="14630" width="35.1640625" style="101" customWidth="1"/>
    <col min="14631" max="14631" width="9.83203125" style="101" bestFit="1" customWidth="1"/>
    <col min="14632" max="14632" width="8.83203125" style="101" bestFit="1" customWidth="1"/>
    <col min="14633" max="14643" width="10.33203125" style="101" customWidth="1"/>
    <col min="14644" max="14883" width="9.1640625" style="101"/>
    <col min="14884" max="14884" width="1.6640625" style="101" customWidth="1"/>
    <col min="14885" max="14885" width="19.1640625" style="101" customWidth="1"/>
    <col min="14886" max="14886" width="35.1640625" style="101" customWidth="1"/>
    <col min="14887" max="14887" width="9.83203125" style="101" bestFit="1" customWidth="1"/>
    <col min="14888" max="14888" width="8.83203125" style="101" bestFit="1" customWidth="1"/>
    <col min="14889" max="14899" width="10.33203125" style="101" customWidth="1"/>
    <col min="14900" max="15139" width="9.1640625" style="101"/>
    <col min="15140" max="15140" width="1.6640625" style="101" customWidth="1"/>
    <col min="15141" max="15141" width="19.1640625" style="101" customWidth="1"/>
    <col min="15142" max="15142" width="35.1640625" style="101" customWidth="1"/>
    <col min="15143" max="15143" width="9.83203125" style="101" bestFit="1" customWidth="1"/>
    <col min="15144" max="15144" width="8.83203125" style="101" bestFit="1" customWidth="1"/>
    <col min="15145" max="15155" width="10.33203125" style="101" customWidth="1"/>
    <col min="15156" max="15395" width="9.1640625" style="101"/>
    <col min="15396" max="15396" width="1.6640625" style="101" customWidth="1"/>
    <col min="15397" max="15397" width="19.1640625" style="101" customWidth="1"/>
    <col min="15398" max="15398" width="35.1640625" style="101" customWidth="1"/>
    <col min="15399" max="15399" width="9.83203125" style="101" bestFit="1" customWidth="1"/>
    <col min="15400" max="15400" width="8.83203125" style="101" bestFit="1" customWidth="1"/>
    <col min="15401" max="15411" width="10.33203125" style="101" customWidth="1"/>
    <col min="15412" max="15651" width="9.1640625" style="101"/>
    <col min="15652" max="15652" width="1.6640625" style="101" customWidth="1"/>
    <col min="15653" max="15653" width="19.1640625" style="101" customWidth="1"/>
    <col min="15654" max="15654" width="35.1640625" style="101" customWidth="1"/>
    <col min="15655" max="15655" width="9.83203125" style="101" bestFit="1" customWidth="1"/>
    <col min="15656" max="15656" width="8.83203125" style="101" bestFit="1" customWidth="1"/>
    <col min="15657" max="15667" width="10.33203125" style="101" customWidth="1"/>
    <col min="15668" max="15907" width="9.1640625" style="101"/>
    <col min="15908" max="15908" width="1.6640625" style="101" customWidth="1"/>
    <col min="15909" max="15909" width="19.1640625" style="101" customWidth="1"/>
    <col min="15910" max="15910" width="35.1640625" style="101" customWidth="1"/>
    <col min="15911" max="15911" width="9.83203125" style="101" bestFit="1" customWidth="1"/>
    <col min="15912" max="15912" width="8.83203125" style="101" bestFit="1" customWidth="1"/>
    <col min="15913" max="15923" width="10.33203125" style="101" customWidth="1"/>
    <col min="15924" max="16163" width="9.1640625" style="101"/>
    <col min="16164" max="16164" width="1.6640625" style="101" customWidth="1"/>
    <col min="16165" max="16165" width="19.1640625" style="101" customWidth="1"/>
    <col min="16166" max="16166" width="35.1640625" style="101" customWidth="1"/>
    <col min="16167" max="16167" width="9.83203125" style="101" bestFit="1" customWidth="1"/>
    <col min="16168" max="16168" width="8.83203125" style="101" bestFit="1" customWidth="1"/>
    <col min="16169" max="16179" width="10.33203125" style="101" customWidth="1"/>
    <col min="16180" max="16384" width="9.1640625" style="101"/>
  </cols>
  <sheetData>
    <row r="1" spans="1:52" ht="36" customHeight="1">
      <c r="A1" s="558">
        <v>0.3</v>
      </c>
      <c r="B1" s="577">
        <v>0.7</v>
      </c>
      <c r="C1" s="335"/>
      <c r="D1" s="802" t="s">
        <v>81</v>
      </c>
      <c r="E1" s="803"/>
      <c r="F1" s="804"/>
      <c r="G1" s="788" t="s">
        <v>161</v>
      </c>
      <c r="H1" s="788"/>
      <c r="I1" s="793"/>
      <c r="J1" s="788" t="s">
        <v>161</v>
      </c>
      <c r="K1" s="788"/>
      <c r="L1" s="793"/>
      <c r="M1" s="788" t="s">
        <v>161</v>
      </c>
      <c r="N1" s="788"/>
      <c r="O1" s="793"/>
      <c r="P1" s="788" t="s">
        <v>162</v>
      </c>
      <c r="Q1" s="788"/>
      <c r="R1" s="793"/>
      <c r="S1" s="788" t="s">
        <v>162</v>
      </c>
      <c r="T1" s="788"/>
      <c r="U1" s="793"/>
      <c r="V1" s="788" t="s">
        <v>163</v>
      </c>
      <c r="W1" s="788"/>
      <c r="X1" s="793"/>
      <c r="Y1" s="788" t="s">
        <v>163</v>
      </c>
      <c r="Z1" s="788"/>
      <c r="AA1" s="793"/>
      <c r="AB1" s="787" t="s">
        <v>164</v>
      </c>
      <c r="AC1" s="788"/>
      <c r="AD1" s="789"/>
      <c r="AE1" s="787" t="s">
        <v>164</v>
      </c>
      <c r="AF1" s="788"/>
      <c r="AG1" s="789"/>
      <c r="AH1" s="787" t="s">
        <v>164</v>
      </c>
      <c r="AI1" s="788"/>
      <c r="AJ1" s="789"/>
      <c r="AK1" s="787" t="s">
        <v>164</v>
      </c>
      <c r="AL1" s="788"/>
      <c r="AM1" s="789"/>
      <c r="AN1" s="787" t="s">
        <v>164</v>
      </c>
      <c r="AO1" s="788"/>
      <c r="AP1" s="789"/>
      <c r="AQ1" s="787" t="s">
        <v>164</v>
      </c>
      <c r="AR1" s="788"/>
      <c r="AS1" s="789"/>
      <c r="AT1" s="787" t="s">
        <v>164</v>
      </c>
      <c r="AU1" s="788"/>
      <c r="AV1" s="789"/>
      <c r="AW1" s="787" t="s">
        <v>164</v>
      </c>
      <c r="AX1" s="788"/>
      <c r="AY1" s="789"/>
    </row>
    <row r="2" spans="1:52" ht="46.5" customHeight="1">
      <c r="A2" s="335" t="s">
        <v>165</v>
      </c>
      <c r="B2" s="335"/>
      <c r="C2" s="335"/>
      <c r="D2" s="648"/>
      <c r="E2" s="649"/>
      <c r="F2" s="650"/>
      <c r="G2" s="805" t="s">
        <v>166</v>
      </c>
      <c r="H2" s="788"/>
      <c r="I2" s="793"/>
      <c r="J2" s="787" t="s">
        <v>167</v>
      </c>
      <c r="K2" s="788"/>
      <c r="L2" s="793"/>
      <c r="M2" s="787" t="s">
        <v>168</v>
      </c>
      <c r="N2" s="788"/>
      <c r="O2" s="793"/>
      <c r="P2" s="787" t="s">
        <v>169</v>
      </c>
      <c r="Q2" s="788"/>
      <c r="R2" s="789"/>
      <c r="S2" s="787" t="s">
        <v>170</v>
      </c>
      <c r="T2" s="788"/>
      <c r="U2" s="789"/>
      <c r="V2" s="787" t="s">
        <v>171</v>
      </c>
      <c r="W2" s="788"/>
      <c r="X2" s="789"/>
      <c r="Y2" s="787" t="s">
        <v>172</v>
      </c>
      <c r="Z2" s="788"/>
      <c r="AA2" s="789"/>
      <c r="AB2" s="787" t="s">
        <v>173</v>
      </c>
      <c r="AC2" s="788"/>
      <c r="AD2" s="789"/>
      <c r="AE2" s="787" t="s">
        <v>173</v>
      </c>
      <c r="AF2" s="788"/>
      <c r="AG2" s="789"/>
      <c r="AH2" s="787" t="s">
        <v>174</v>
      </c>
      <c r="AI2" s="788"/>
      <c r="AJ2" s="789"/>
      <c r="AK2" s="787" t="s">
        <v>175</v>
      </c>
      <c r="AL2" s="788"/>
      <c r="AM2" s="789"/>
      <c r="AN2" s="787" t="s">
        <v>176</v>
      </c>
      <c r="AO2" s="788"/>
      <c r="AP2" s="789"/>
      <c r="AQ2" s="787" t="s">
        <v>177</v>
      </c>
      <c r="AR2" s="788"/>
      <c r="AS2" s="789"/>
      <c r="AT2" s="787" t="s">
        <v>178</v>
      </c>
      <c r="AU2" s="788"/>
      <c r="AV2" s="789"/>
      <c r="AW2" s="787" t="s">
        <v>179</v>
      </c>
      <c r="AX2" s="788"/>
      <c r="AY2" s="789"/>
    </row>
    <row r="3" spans="1:52" ht="36" customHeight="1">
      <c r="A3" s="335" t="s">
        <v>180</v>
      </c>
      <c r="B3" s="335"/>
      <c r="C3" s="335"/>
      <c r="D3" s="648"/>
      <c r="E3" s="649"/>
      <c r="F3" s="650"/>
      <c r="G3" s="794" t="s">
        <v>165</v>
      </c>
      <c r="H3" s="791"/>
      <c r="I3" s="795"/>
      <c r="J3" s="794" t="s">
        <v>165</v>
      </c>
      <c r="K3" s="791"/>
      <c r="L3" s="795"/>
      <c r="M3" s="794" t="s">
        <v>165</v>
      </c>
      <c r="N3" s="791"/>
      <c r="O3" s="795"/>
      <c r="P3" s="794" t="s">
        <v>165</v>
      </c>
      <c r="Q3" s="791"/>
      <c r="R3" s="795"/>
      <c r="S3" s="794" t="s">
        <v>165</v>
      </c>
      <c r="T3" s="791"/>
      <c r="U3" s="795"/>
      <c r="V3" s="794" t="s">
        <v>165</v>
      </c>
      <c r="W3" s="791"/>
      <c r="X3" s="795"/>
      <c r="Y3" s="794" t="s">
        <v>165</v>
      </c>
      <c r="Z3" s="791"/>
      <c r="AA3" s="795"/>
      <c r="AB3" s="790" t="s">
        <v>181</v>
      </c>
      <c r="AC3" s="791"/>
      <c r="AD3" s="792"/>
      <c r="AE3" s="790" t="s">
        <v>182</v>
      </c>
      <c r="AF3" s="791"/>
      <c r="AG3" s="792"/>
      <c r="AH3" s="790" t="s">
        <v>182</v>
      </c>
      <c r="AI3" s="791"/>
      <c r="AJ3" s="792"/>
      <c r="AK3" s="790" t="s">
        <v>182</v>
      </c>
      <c r="AL3" s="791"/>
      <c r="AM3" s="792"/>
      <c r="AN3" s="790" t="s">
        <v>182</v>
      </c>
      <c r="AO3" s="791"/>
      <c r="AP3" s="792"/>
      <c r="AQ3" s="790" t="s">
        <v>182</v>
      </c>
      <c r="AR3" s="791"/>
      <c r="AS3" s="792"/>
      <c r="AT3" s="790" t="s">
        <v>182</v>
      </c>
      <c r="AU3" s="791"/>
      <c r="AV3" s="792"/>
      <c r="AW3" s="790" t="s">
        <v>182</v>
      </c>
      <c r="AX3" s="791"/>
      <c r="AY3" s="792"/>
    </row>
    <row r="4" spans="1:52" ht="36" customHeight="1">
      <c r="A4" s="335" t="s">
        <v>183</v>
      </c>
      <c r="B4" s="335"/>
      <c r="C4" s="335"/>
      <c r="D4" s="648"/>
      <c r="E4" s="649"/>
      <c r="F4" s="650"/>
      <c r="G4" s="794"/>
      <c r="H4" s="791"/>
      <c r="I4" s="795"/>
      <c r="J4" s="790"/>
      <c r="K4" s="791"/>
      <c r="L4" s="795"/>
      <c r="M4" s="790"/>
      <c r="N4" s="791"/>
      <c r="O4" s="795"/>
      <c r="P4" s="790"/>
      <c r="Q4" s="791"/>
      <c r="R4" s="792"/>
      <c r="S4" s="790"/>
      <c r="T4" s="791"/>
      <c r="U4" s="792"/>
      <c r="V4" s="790"/>
      <c r="W4" s="791"/>
      <c r="X4" s="792"/>
      <c r="Y4" s="790"/>
      <c r="Z4" s="791"/>
      <c r="AA4" s="792"/>
      <c r="AB4" s="790"/>
      <c r="AC4" s="791"/>
      <c r="AD4" s="792"/>
      <c r="AE4" s="790"/>
      <c r="AF4" s="791"/>
      <c r="AG4" s="792"/>
      <c r="AH4" s="790"/>
      <c r="AI4" s="791"/>
      <c r="AJ4" s="792"/>
      <c r="AK4" s="790"/>
      <c r="AL4" s="791"/>
      <c r="AM4" s="792"/>
      <c r="AN4" s="790"/>
      <c r="AO4" s="791"/>
      <c r="AP4" s="792"/>
      <c r="AQ4" s="790"/>
      <c r="AR4" s="791"/>
      <c r="AS4" s="792"/>
      <c r="AT4" s="790"/>
      <c r="AU4" s="791"/>
      <c r="AV4" s="792"/>
      <c r="AW4" s="790"/>
      <c r="AX4" s="791"/>
      <c r="AY4" s="792"/>
    </row>
    <row r="5" spans="1:52" s="61" customFormat="1" ht="15.75" customHeight="1">
      <c r="A5" s="337" t="s">
        <v>184</v>
      </c>
      <c r="B5" s="337" t="s">
        <v>185</v>
      </c>
      <c r="C5" s="337" t="s">
        <v>111</v>
      </c>
      <c r="D5" s="338" t="s">
        <v>112</v>
      </c>
      <c r="E5" s="339" t="s">
        <v>113</v>
      </c>
      <c r="F5" s="340" t="s">
        <v>186</v>
      </c>
      <c r="G5" s="341" t="s">
        <v>112</v>
      </c>
      <c r="H5" s="341" t="s">
        <v>113</v>
      </c>
      <c r="I5" s="342" t="s">
        <v>186</v>
      </c>
      <c r="J5" s="343" t="s">
        <v>112</v>
      </c>
      <c r="K5" s="341" t="s">
        <v>113</v>
      </c>
      <c r="L5" s="342" t="s">
        <v>186</v>
      </c>
      <c r="M5" s="343" t="s">
        <v>112</v>
      </c>
      <c r="N5" s="341" t="s">
        <v>113</v>
      </c>
      <c r="O5" s="342" t="s">
        <v>186</v>
      </c>
      <c r="P5" s="343" t="s">
        <v>112</v>
      </c>
      <c r="Q5" s="341" t="s">
        <v>113</v>
      </c>
      <c r="R5" s="344" t="s">
        <v>186</v>
      </c>
      <c r="S5" s="343" t="s">
        <v>112</v>
      </c>
      <c r="T5" s="341" t="s">
        <v>113</v>
      </c>
      <c r="U5" s="344" t="s">
        <v>186</v>
      </c>
      <c r="V5" s="343" t="s">
        <v>112</v>
      </c>
      <c r="W5" s="341" t="s">
        <v>113</v>
      </c>
      <c r="X5" s="344" t="s">
        <v>186</v>
      </c>
      <c r="Y5" s="343" t="s">
        <v>112</v>
      </c>
      <c r="Z5" s="341" t="s">
        <v>113</v>
      </c>
      <c r="AA5" s="344" t="s">
        <v>186</v>
      </c>
      <c r="AB5" s="343" t="s">
        <v>112</v>
      </c>
      <c r="AC5" s="341" t="s">
        <v>113</v>
      </c>
      <c r="AD5" s="344" t="s">
        <v>186</v>
      </c>
      <c r="AE5" s="343" t="s">
        <v>112</v>
      </c>
      <c r="AF5" s="341" t="s">
        <v>113</v>
      </c>
      <c r="AG5" s="344" t="s">
        <v>186</v>
      </c>
      <c r="AH5" s="343" t="s">
        <v>112</v>
      </c>
      <c r="AI5" s="341" t="s">
        <v>113</v>
      </c>
      <c r="AJ5" s="344" t="s">
        <v>186</v>
      </c>
      <c r="AK5" s="343" t="s">
        <v>112</v>
      </c>
      <c r="AL5" s="341" t="s">
        <v>113</v>
      </c>
      <c r="AM5" s="344" t="s">
        <v>186</v>
      </c>
      <c r="AN5" s="343" t="s">
        <v>112</v>
      </c>
      <c r="AO5" s="341" t="s">
        <v>113</v>
      </c>
      <c r="AP5" s="344" t="s">
        <v>186</v>
      </c>
      <c r="AQ5" s="343" t="s">
        <v>112</v>
      </c>
      <c r="AR5" s="341" t="s">
        <v>113</v>
      </c>
      <c r="AS5" s="344" t="s">
        <v>186</v>
      </c>
      <c r="AT5" s="343" t="s">
        <v>112</v>
      </c>
      <c r="AU5" s="341" t="s">
        <v>113</v>
      </c>
      <c r="AV5" s="344" t="s">
        <v>186</v>
      </c>
      <c r="AW5" s="343" t="s">
        <v>112</v>
      </c>
      <c r="AX5" s="341" t="s">
        <v>113</v>
      </c>
      <c r="AY5" s="344" t="s">
        <v>186</v>
      </c>
      <c r="AZ5" s="345"/>
    </row>
    <row r="6" spans="1:52" ht="14.5" customHeight="1">
      <c r="A6" s="796" t="s">
        <v>187</v>
      </c>
      <c r="B6" s="799" t="s">
        <v>188</v>
      </c>
      <c r="C6" s="346" t="s">
        <v>115</v>
      </c>
      <c r="D6" s="347">
        <f>G6+J6+M6+AE6+P6+S6+V6+Y6+AB6+AH6+AK6+AN6+AQ6+AT6+AW6</f>
        <v>1441674</v>
      </c>
      <c r="E6" s="348">
        <f>H6+K6+N6+AF6+Q6+T6+W6+Z6+AC6+AI6+AL6+AO6+AR6+AU6+AX6</f>
        <v>1441674</v>
      </c>
      <c r="F6" s="349">
        <f>I6+L6+O6+AG6+R6+U6+AA6+X6+AD6+AJ6+AM6+AP6+AS6+AV6+AY6</f>
        <v>0</v>
      </c>
      <c r="G6" s="351">
        <f>800000*$A$1</f>
        <v>240000</v>
      </c>
      <c r="H6" s="351">
        <f t="shared" ref="H6:H15" si="0">800000*$A$1</f>
        <v>240000</v>
      </c>
      <c r="I6" s="352">
        <f>H6-G6</f>
        <v>0</v>
      </c>
      <c r="J6" s="351">
        <f>7000*$A$1</f>
        <v>2100</v>
      </c>
      <c r="K6" s="351">
        <f t="shared" ref="K6:K15" si="1">7000*$A$1</f>
        <v>2100</v>
      </c>
      <c r="L6" s="352">
        <f>K6-J6</f>
        <v>0</v>
      </c>
      <c r="M6" s="351">
        <f>700000*2*$B$1</f>
        <v>979999.99999999988</v>
      </c>
      <c r="N6" s="353">
        <f>700000*2*$B$1</f>
        <v>979999.99999999988</v>
      </c>
      <c r="O6" s="352">
        <f>N6-M6</f>
        <v>0</v>
      </c>
      <c r="P6" s="351">
        <f>10000*$A$1</f>
        <v>3000</v>
      </c>
      <c r="Q6" s="353">
        <f t="shared" ref="Q6:Q15" si="2">10000*$A$1</f>
        <v>3000</v>
      </c>
      <c r="R6" s="354">
        <f>Q6-P6</f>
        <v>0</v>
      </c>
      <c r="S6" s="351">
        <f>150000*2*$B$1</f>
        <v>210000</v>
      </c>
      <c r="T6" s="353">
        <f>150000*2*$B$1</f>
        <v>210000</v>
      </c>
      <c r="U6" s="354">
        <f>T6-S6</f>
        <v>0</v>
      </c>
      <c r="V6" s="351">
        <f>3000*$A$1</f>
        <v>900</v>
      </c>
      <c r="W6" s="353">
        <f>3000*$A$1</f>
        <v>900</v>
      </c>
      <c r="X6" s="354">
        <f>W6-V6</f>
        <v>0</v>
      </c>
      <c r="Y6" s="351">
        <f>2000*$A$1</f>
        <v>600</v>
      </c>
      <c r="Z6" s="353">
        <f t="shared" ref="Z6:Z15" si="3">2000*$A$1</f>
        <v>600</v>
      </c>
      <c r="AA6" s="354">
        <f>Z6-Y6</f>
        <v>0</v>
      </c>
      <c r="AB6" s="351">
        <v>1519</v>
      </c>
      <c r="AC6" s="353">
        <v>1519</v>
      </c>
      <c r="AD6" s="354">
        <f>AC6-AB6</f>
        <v>0</v>
      </c>
      <c r="AE6" s="351">
        <v>5</v>
      </c>
      <c r="AF6" s="353">
        <v>5</v>
      </c>
      <c r="AG6" s="354">
        <f>AF6-AE6</f>
        <v>0</v>
      </c>
      <c r="AH6" s="351">
        <v>250</v>
      </c>
      <c r="AI6" s="353">
        <v>250</v>
      </c>
      <c r="AJ6" s="354">
        <f>AI6-AH6</f>
        <v>0</v>
      </c>
      <c r="AK6" s="351">
        <v>450</v>
      </c>
      <c r="AL6" s="353">
        <v>450</v>
      </c>
      <c r="AM6" s="354">
        <f>AL6-AK6</f>
        <v>0</v>
      </c>
      <c r="AN6" s="351">
        <v>550</v>
      </c>
      <c r="AO6" s="353">
        <v>550</v>
      </c>
      <c r="AP6" s="354">
        <f>AO6-AN6</f>
        <v>0</v>
      </c>
      <c r="AQ6" s="351">
        <v>350</v>
      </c>
      <c r="AR6" s="353">
        <v>350</v>
      </c>
      <c r="AS6" s="354">
        <f>AR6-AQ6</f>
        <v>0</v>
      </c>
      <c r="AT6" s="351">
        <v>750</v>
      </c>
      <c r="AU6" s="353">
        <v>750</v>
      </c>
      <c r="AV6" s="354">
        <f>AU6-AT6</f>
        <v>0</v>
      </c>
      <c r="AW6" s="351">
        <v>1200</v>
      </c>
      <c r="AX6" s="353">
        <v>1200</v>
      </c>
      <c r="AY6" s="354">
        <f>AX6-AW6</f>
        <v>0</v>
      </c>
      <c r="AZ6" s="355">
        <v>0</v>
      </c>
    </row>
    <row r="7" spans="1:52" ht="16">
      <c r="A7" s="797"/>
      <c r="B7" s="800"/>
      <c r="C7" s="24" t="s">
        <v>116</v>
      </c>
      <c r="D7" s="356">
        <f t="shared" ref="D7:D70" si="4">G7+J7+M7+AE7+P7+S7+V7+Y7+AB7+AH7+AK7+AN7+AQ7+AT7+AW7</f>
        <v>1441674</v>
      </c>
      <c r="E7" s="357">
        <f t="shared" ref="E7:E70" si="5">H7+K7+N7+AF7+Q7+T7+W7+Z7+AC7+AI7+AL7+AO7+AR7+AU7+AX7</f>
        <v>1441674</v>
      </c>
      <c r="F7" s="358">
        <f t="shared" ref="F7:F70" si="6">I7+L7+O7+AG7+R7+U7+AA7+X7+AD7+AJ7+AM7+AP7+AS7+AV7+AY7</f>
        <v>0</v>
      </c>
      <c r="G7" s="360">
        <f t="shared" ref="G7:G15" si="7">800000*$A$1</f>
        <v>240000</v>
      </c>
      <c r="H7" s="360">
        <f t="shared" si="0"/>
        <v>240000</v>
      </c>
      <c r="I7" s="361">
        <f t="shared" ref="I7:I25" si="8">H7-G7</f>
        <v>0</v>
      </c>
      <c r="J7" s="360">
        <f t="shared" ref="J7:J15" si="9">7000*$A$1</f>
        <v>2100</v>
      </c>
      <c r="K7" s="360">
        <f t="shared" si="1"/>
        <v>2100</v>
      </c>
      <c r="L7" s="361">
        <f t="shared" ref="L7:L25" si="10">K7-J7</f>
        <v>0</v>
      </c>
      <c r="M7" s="360">
        <f>700000*2*$B$1</f>
        <v>979999.99999999988</v>
      </c>
      <c r="N7" s="362">
        <f>700000*2*$B$1</f>
        <v>979999.99999999988</v>
      </c>
      <c r="O7" s="361">
        <f t="shared" ref="O7:O25" si="11">N7-M7</f>
        <v>0</v>
      </c>
      <c r="P7" s="360">
        <f t="shared" ref="P7:P15" si="12">10000*$A$1</f>
        <v>3000</v>
      </c>
      <c r="Q7" s="362">
        <f t="shared" si="2"/>
        <v>3000</v>
      </c>
      <c r="R7" s="363">
        <f t="shared" ref="R7:R25" si="13">Q7-P7</f>
        <v>0</v>
      </c>
      <c r="S7" s="360">
        <f>150000*2*$B$1</f>
        <v>210000</v>
      </c>
      <c r="T7" s="362">
        <f>150000*2*$B$1</f>
        <v>210000</v>
      </c>
      <c r="U7" s="363">
        <f t="shared" ref="U7:U25" si="14">T7-S7</f>
        <v>0</v>
      </c>
      <c r="V7" s="360">
        <f t="shared" ref="V7:W15" si="15">3000*$A$1</f>
        <v>900</v>
      </c>
      <c r="W7" s="362">
        <f>3000*$A$1</f>
        <v>900</v>
      </c>
      <c r="X7" s="363">
        <f t="shared" ref="X7:X25" si="16">W7-V7</f>
        <v>0</v>
      </c>
      <c r="Y7" s="360">
        <f t="shared" ref="Y7:Y15" si="17">2000*$A$1</f>
        <v>600</v>
      </c>
      <c r="Z7" s="362">
        <f t="shared" si="3"/>
        <v>600</v>
      </c>
      <c r="AA7" s="363">
        <f t="shared" ref="AA7:AA25" si="18">Z7-Y7</f>
        <v>0</v>
      </c>
      <c r="AB7" s="360">
        <v>1519</v>
      </c>
      <c r="AC7" s="362">
        <v>1519</v>
      </c>
      <c r="AD7" s="363">
        <f t="shared" ref="AD7:AD25" si="19">AC7-AB7</f>
        <v>0</v>
      </c>
      <c r="AE7" s="360">
        <v>5</v>
      </c>
      <c r="AF7" s="362">
        <v>5</v>
      </c>
      <c r="AG7" s="363">
        <f t="shared" ref="AG7:AG25" si="20">AF7-AE7</f>
        <v>0</v>
      </c>
      <c r="AH7" s="360">
        <v>250</v>
      </c>
      <c r="AI7" s="362">
        <v>250</v>
      </c>
      <c r="AJ7" s="363">
        <f t="shared" ref="AJ7:AJ25" si="21">AI7-AH7</f>
        <v>0</v>
      </c>
      <c r="AK7" s="360">
        <v>450</v>
      </c>
      <c r="AL7" s="362">
        <v>450</v>
      </c>
      <c r="AM7" s="363">
        <f t="shared" ref="AM7:AM25" si="22">AL7-AK7</f>
        <v>0</v>
      </c>
      <c r="AN7" s="360">
        <v>550</v>
      </c>
      <c r="AO7" s="362">
        <v>550</v>
      </c>
      <c r="AP7" s="363">
        <f t="shared" ref="AP7:AP25" si="23">AO7-AN7</f>
        <v>0</v>
      </c>
      <c r="AQ7" s="360">
        <v>350</v>
      </c>
      <c r="AR7" s="362">
        <v>350</v>
      </c>
      <c r="AS7" s="363">
        <f t="shared" ref="AS7:AS25" si="24">AR7-AQ7</f>
        <v>0</v>
      </c>
      <c r="AT7" s="360">
        <v>750</v>
      </c>
      <c r="AU7" s="362">
        <v>750</v>
      </c>
      <c r="AV7" s="363">
        <f t="shared" ref="AV7:AV25" si="25">AU7-AT7</f>
        <v>0</v>
      </c>
      <c r="AW7" s="360">
        <v>1200</v>
      </c>
      <c r="AX7" s="362">
        <v>1200</v>
      </c>
      <c r="AY7" s="363">
        <f t="shared" ref="AY7:AY25" si="26">AX7-AW7</f>
        <v>0</v>
      </c>
      <c r="AZ7" s="355"/>
    </row>
    <row r="8" spans="1:52" ht="16">
      <c r="A8" s="797"/>
      <c r="B8" s="800"/>
      <c r="C8" s="24" t="s">
        <v>117</v>
      </c>
      <c r="D8" s="356">
        <f t="shared" si="4"/>
        <v>1441674</v>
      </c>
      <c r="E8" s="357">
        <f t="shared" si="5"/>
        <v>1441674</v>
      </c>
      <c r="F8" s="358">
        <f t="shared" si="6"/>
        <v>0</v>
      </c>
      <c r="G8" s="360">
        <f t="shared" si="7"/>
        <v>240000</v>
      </c>
      <c r="H8" s="360">
        <f t="shared" si="0"/>
        <v>240000</v>
      </c>
      <c r="I8" s="361">
        <f t="shared" si="8"/>
        <v>0</v>
      </c>
      <c r="J8" s="360">
        <f t="shared" si="9"/>
        <v>2100</v>
      </c>
      <c r="K8" s="360">
        <f t="shared" si="1"/>
        <v>2100</v>
      </c>
      <c r="L8" s="361">
        <f t="shared" si="10"/>
        <v>0</v>
      </c>
      <c r="M8" s="360">
        <f t="shared" ref="M8:N15" si="27">700000*2*$B$1</f>
        <v>979999.99999999988</v>
      </c>
      <c r="N8" s="362">
        <f t="shared" si="27"/>
        <v>979999.99999999988</v>
      </c>
      <c r="O8" s="361">
        <f t="shared" si="11"/>
        <v>0</v>
      </c>
      <c r="P8" s="360">
        <f t="shared" si="12"/>
        <v>3000</v>
      </c>
      <c r="Q8" s="362">
        <f t="shared" si="2"/>
        <v>3000</v>
      </c>
      <c r="R8" s="363">
        <f t="shared" si="13"/>
        <v>0</v>
      </c>
      <c r="S8" s="360">
        <f t="shared" ref="S8:T15" si="28">150000*2*$B$1</f>
        <v>210000</v>
      </c>
      <c r="T8" s="362">
        <f t="shared" si="28"/>
        <v>210000</v>
      </c>
      <c r="U8" s="363">
        <f t="shared" si="14"/>
        <v>0</v>
      </c>
      <c r="V8" s="360">
        <f t="shared" si="15"/>
        <v>900</v>
      </c>
      <c r="W8" s="362">
        <f t="shared" si="15"/>
        <v>900</v>
      </c>
      <c r="X8" s="363">
        <f t="shared" si="16"/>
        <v>0</v>
      </c>
      <c r="Y8" s="360">
        <f t="shared" si="17"/>
        <v>600</v>
      </c>
      <c r="Z8" s="362">
        <f t="shared" si="3"/>
        <v>600</v>
      </c>
      <c r="AA8" s="363">
        <f t="shared" si="18"/>
        <v>0</v>
      </c>
      <c r="AB8" s="360">
        <v>1519</v>
      </c>
      <c r="AC8" s="362">
        <v>1519</v>
      </c>
      <c r="AD8" s="363">
        <f t="shared" si="19"/>
        <v>0</v>
      </c>
      <c r="AE8" s="360">
        <v>5</v>
      </c>
      <c r="AF8" s="362">
        <v>5</v>
      </c>
      <c r="AG8" s="363">
        <f t="shared" si="20"/>
        <v>0</v>
      </c>
      <c r="AH8" s="360">
        <v>250</v>
      </c>
      <c r="AI8" s="362">
        <v>250</v>
      </c>
      <c r="AJ8" s="363">
        <f t="shared" si="21"/>
        <v>0</v>
      </c>
      <c r="AK8" s="360">
        <v>450</v>
      </c>
      <c r="AL8" s="362">
        <v>450</v>
      </c>
      <c r="AM8" s="363">
        <f t="shared" si="22"/>
        <v>0</v>
      </c>
      <c r="AN8" s="360">
        <v>550</v>
      </c>
      <c r="AO8" s="362">
        <v>550</v>
      </c>
      <c r="AP8" s="363">
        <f t="shared" si="23"/>
        <v>0</v>
      </c>
      <c r="AQ8" s="360">
        <v>350</v>
      </c>
      <c r="AR8" s="362">
        <v>350</v>
      </c>
      <c r="AS8" s="363">
        <f t="shared" si="24"/>
        <v>0</v>
      </c>
      <c r="AT8" s="360">
        <v>750</v>
      </c>
      <c r="AU8" s="362">
        <v>750</v>
      </c>
      <c r="AV8" s="363">
        <f t="shared" si="25"/>
        <v>0</v>
      </c>
      <c r="AW8" s="360">
        <v>1200</v>
      </c>
      <c r="AX8" s="362">
        <v>1200</v>
      </c>
      <c r="AY8" s="363">
        <f t="shared" si="26"/>
        <v>0</v>
      </c>
      <c r="AZ8" s="355"/>
    </row>
    <row r="9" spans="1:52" ht="16">
      <c r="A9" s="797"/>
      <c r="B9" s="800"/>
      <c r="C9" s="24" t="s">
        <v>118</v>
      </c>
      <c r="D9" s="356">
        <f t="shared" si="4"/>
        <v>1441674</v>
      </c>
      <c r="E9" s="357">
        <f t="shared" si="5"/>
        <v>1441674</v>
      </c>
      <c r="F9" s="358">
        <f t="shared" si="6"/>
        <v>0</v>
      </c>
      <c r="G9" s="360">
        <f t="shared" si="7"/>
        <v>240000</v>
      </c>
      <c r="H9" s="360">
        <f t="shared" si="0"/>
        <v>240000</v>
      </c>
      <c r="I9" s="361">
        <f t="shared" si="8"/>
        <v>0</v>
      </c>
      <c r="J9" s="360">
        <f t="shared" si="9"/>
        <v>2100</v>
      </c>
      <c r="K9" s="360">
        <f t="shared" si="1"/>
        <v>2100</v>
      </c>
      <c r="L9" s="361">
        <f t="shared" si="10"/>
        <v>0</v>
      </c>
      <c r="M9" s="360">
        <f t="shared" si="27"/>
        <v>979999.99999999988</v>
      </c>
      <c r="N9" s="362">
        <f t="shared" si="27"/>
        <v>979999.99999999988</v>
      </c>
      <c r="O9" s="361">
        <f t="shared" si="11"/>
        <v>0</v>
      </c>
      <c r="P9" s="360">
        <f t="shared" si="12"/>
        <v>3000</v>
      </c>
      <c r="Q9" s="362">
        <f t="shared" si="2"/>
        <v>3000</v>
      </c>
      <c r="R9" s="363">
        <f t="shared" si="13"/>
        <v>0</v>
      </c>
      <c r="S9" s="360">
        <f t="shared" si="28"/>
        <v>210000</v>
      </c>
      <c r="T9" s="362">
        <f t="shared" si="28"/>
        <v>210000</v>
      </c>
      <c r="U9" s="363">
        <f t="shared" si="14"/>
        <v>0</v>
      </c>
      <c r="V9" s="360">
        <f t="shared" si="15"/>
        <v>900</v>
      </c>
      <c r="W9" s="362">
        <f t="shared" si="15"/>
        <v>900</v>
      </c>
      <c r="X9" s="363">
        <f t="shared" si="16"/>
        <v>0</v>
      </c>
      <c r="Y9" s="360">
        <f t="shared" si="17"/>
        <v>600</v>
      </c>
      <c r="Z9" s="362">
        <f t="shared" si="3"/>
        <v>600</v>
      </c>
      <c r="AA9" s="363">
        <f t="shared" si="18"/>
        <v>0</v>
      </c>
      <c r="AB9" s="360">
        <v>1519</v>
      </c>
      <c r="AC9" s="362">
        <v>1519</v>
      </c>
      <c r="AD9" s="363">
        <f t="shared" si="19"/>
        <v>0</v>
      </c>
      <c r="AE9" s="360">
        <v>5</v>
      </c>
      <c r="AF9" s="362">
        <v>5</v>
      </c>
      <c r="AG9" s="363">
        <f t="shared" si="20"/>
        <v>0</v>
      </c>
      <c r="AH9" s="360">
        <v>250</v>
      </c>
      <c r="AI9" s="362">
        <v>250</v>
      </c>
      <c r="AJ9" s="363">
        <f t="shared" si="21"/>
        <v>0</v>
      </c>
      <c r="AK9" s="360">
        <v>450</v>
      </c>
      <c r="AL9" s="362">
        <v>450</v>
      </c>
      <c r="AM9" s="363">
        <f t="shared" si="22"/>
        <v>0</v>
      </c>
      <c r="AN9" s="360">
        <v>550</v>
      </c>
      <c r="AO9" s="362">
        <v>550</v>
      </c>
      <c r="AP9" s="363">
        <f t="shared" si="23"/>
        <v>0</v>
      </c>
      <c r="AQ9" s="360">
        <v>350</v>
      </c>
      <c r="AR9" s="362">
        <v>350</v>
      </c>
      <c r="AS9" s="363">
        <f t="shared" si="24"/>
        <v>0</v>
      </c>
      <c r="AT9" s="360">
        <v>750</v>
      </c>
      <c r="AU9" s="362">
        <v>750</v>
      </c>
      <c r="AV9" s="363">
        <f t="shared" si="25"/>
        <v>0</v>
      </c>
      <c r="AW9" s="360">
        <v>1200</v>
      </c>
      <c r="AX9" s="362">
        <v>1200</v>
      </c>
      <c r="AY9" s="363">
        <f t="shared" si="26"/>
        <v>0</v>
      </c>
      <c r="AZ9" s="355"/>
    </row>
    <row r="10" spans="1:52" ht="16">
      <c r="A10" s="797"/>
      <c r="B10" s="800"/>
      <c r="C10" s="24" t="s">
        <v>119</v>
      </c>
      <c r="D10" s="356">
        <f t="shared" si="4"/>
        <v>1441674</v>
      </c>
      <c r="E10" s="357">
        <f t="shared" si="5"/>
        <v>1441674</v>
      </c>
      <c r="F10" s="358">
        <f t="shared" si="6"/>
        <v>0</v>
      </c>
      <c r="G10" s="360">
        <f t="shared" si="7"/>
        <v>240000</v>
      </c>
      <c r="H10" s="360">
        <f t="shared" si="0"/>
        <v>240000</v>
      </c>
      <c r="I10" s="361">
        <f t="shared" si="8"/>
        <v>0</v>
      </c>
      <c r="J10" s="360">
        <f t="shared" si="9"/>
        <v>2100</v>
      </c>
      <c r="K10" s="360">
        <f t="shared" si="1"/>
        <v>2100</v>
      </c>
      <c r="L10" s="361">
        <f t="shared" si="10"/>
        <v>0</v>
      </c>
      <c r="M10" s="360">
        <f t="shared" si="27"/>
        <v>979999.99999999988</v>
      </c>
      <c r="N10" s="362">
        <f t="shared" si="27"/>
        <v>979999.99999999988</v>
      </c>
      <c r="O10" s="361">
        <f t="shared" si="11"/>
        <v>0</v>
      </c>
      <c r="P10" s="360">
        <f t="shared" si="12"/>
        <v>3000</v>
      </c>
      <c r="Q10" s="362">
        <f t="shared" si="2"/>
        <v>3000</v>
      </c>
      <c r="R10" s="363">
        <f t="shared" si="13"/>
        <v>0</v>
      </c>
      <c r="S10" s="360">
        <f t="shared" si="28"/>
        <v>210000</v>
      </c>
      <c r="T10" s="362">
        <f t="shared" si="28"/>
        <v>210000</v>
      </c>
      <c r="U10" s="363">
        <f t="shared" si="14"/>
        <v>0</v>
      </c>
      <c r="V10" s="360">
        <f t="shared" si="15"/>
        <v>900</v>
      </c>
      <c r="W10" s="362">
        <f t="shared" si="15"/>
        <v>900</v>
      </c>
      <c r="X10" s="363">
        <f t="shared" si="16"/>
        <v>0</v>
      </c>
      <c r="Y10" s="360">
        <f t="shared" si="17"/>
        <v>600</v>
      </c>
      <c r="Z10" s="362">
        <f t="shared" si="3"/>
        <v>600</v>
      </c>
      <c r="AA10" s="363">
        <f t="shared" si="18"/>
        <v>0</v>
      </c>
      <c r="AB10" s="360">
        <v>1519</v>
      </c>
      <c r="AC10" s="362">
        <v>1519</v>
      </c>
      <c r="AD10" s="363">
        <f t="shared" si="19"/>
        <v>0</v>
      </c>
      <c r="AE10" s="360">
        <v>5</v>
      </c>
      <c r="AF10" s="362">
        <v>5</v>
      </c>
      <c r="AG10" s="363">
        <f t="shared" si="20"/>
        <v>0</v>
      </c>
      <c r="AH10" s="360">
        <v>250</v>
      </c>
      <c r="AI10" s="362">
        <v>250</v>
      </c>
      <c r="AJ10" s="363">
        <f t="shared" si="21"/>
        <v>0</v>
      </c>
      <c r="AK10" s="360">
        <v>450</v>
      </c>
      <c r="AL10" s="362">
        <v>450</v>
      </c>
      <c r="AM10" s="363">
        <f t="shared" si="22"/>
        <v>0</v>
      </c>
      <c r="AN10" s="360">
        <v>550</v>
      </c>
      <c r="AO10" s="362">
        <v>550</v>
      </c>
      <c r="AP10" s="363">
        <f t="shared" si="23"/>
        <v>0</v>
      </c>
      <c r="AQ10" s="360">
        <v>350</v>
      </c>
      <c r="AR10" s="362">
        <v>350</v>
      </c>
      <c r="AS10" s="363">
        <f t="shared" si="24"/>
        <v>0</v>
      </c>
      <c r="AT10" s="360">
        <v>750</v>
      </c>
      <c r="AU10" s="362">
        <v>750</v>
      </c>
      <c r="AV10" s="363">
        <f t="shared" si="25"/>
        <v>0</v>
      </c>
      <c r="AW10" s="360">
        <v>1200</v>
      </c>
      <c r="AX10" s="362">
        <v>1200</v>
      </c>
      <c r="AY10" s="363">
        <f t="shared" si="26"/>
        <v>0</v>
      </c>
      <c r="AZ10" s="355"/>
    </row>
    <row r="11" spans="1:52" ht="16">
      <c r="A11" s="797"/>
      <c r="B11" s="800"/>
      <c r="C11" s="24" t="s">
        <v>120</v>
      </c>
      <c r="D11" s="356">
        <f t="shared" si="4"/>
        <v>1441674</v>
      </c>
      <c r="E11" s="357">
        <f t="shared" si="5"/>
        <v>1441674</v>
      </c>
      <c r="F11" s="358">
        <f t="shared" si="6"/>
        <v>0</v>
      </c>
      <c r="G11" s="360">
        <f t="shared" si="7"/>
        <v>240000</v>
      </c>
      <c r="H11" s="360">
        <f t="shared" si="0"/>
        <v>240000</v>
      </c>
      <c r="I11" s="361">
        <f t="shared" si="8"/>
        <v>0</v>
      </c>
      <c r="J11" s="360">
        <f t="shared" si="9"/>
        <v>2100</v>
      </c>
      <c r="K11" s="360">
        <f t="shared" si="1"/>
        <v>2100</v>
      </c>
      <c r="L11" s="361">
        <f t="shared" si="10"/>
        <v>0</v>
      </c>
      <c r="M11" s="360">
        <f t="shared" si="27"/>
        <v>979999.99999999988</v>
      </c>
      <c r="N11" s="362">
        <f t="shared" si="27"/>
        <v>979999.99999999988</v>
      </c>
      <c r="O11" s="361">
        <f t="shared" si="11"/>
        <v>0</v>
      </c>
      <c r="P11" s="360">
        <f t="shared" si="12"/>
        <v>3000</v>
      </c>
      <c r="Q11" s="362">
        <f t="shared" si="2"/>
        <v>3000</v>
      </c>
      <c r="R11" s="363">
        <f t="shared" si="13"/>
        <v>0</v>
      </c>
      <c r="S11" s="360">
        <f t="shared" si="28"/>
        <v>210000</v>
      </c>
      <c r="T11" s="362">
        <f t="shared" si="28"/>
        <v>210000</v>
      </c>
      <c r="U11" s="363">
        <f t="shared" si="14"/>
        <v>0</v>
      </c>
      <c r="V11" s="360">
        <f t="shared" si="15"/>
        <v>900</v>
      </c>
      <c r="W11" s="362">
        <f t="shared" si="15"/>
        <v>900</v>
      </c>
      <c r="X11" s="363">
        <f t="shared" si="16"/>
        <v>0</v>
      </c>
      <c r="Y11" s="360">
        <f t="shared" si="17"/>
        <v>600</v>
      </c>
      <c r="Z11" s="362">
        <f t="shared" si="3"/>
        <v>600</v>
      </c>
      <c r="AA11" s="363">
        <f t="shared" si="18"/>
        <v>0</v>
      </c>
      <c r="AB11" s="360">
        <v>1519</v>
      </c>
      <c r="AC11" s="362">
        <v>1519</v>
      </c>
      <c r="AD11" s="363">
        <f t="shared" si="19"/>
        <v>0</v>
      </c>
      <c r="AE11" s="360">
        <v>5</v>
      </c>
      <c r="AF11" s="362">
        <v>5</v>
      </c>
      <c r="AG11" s="363">
        <f t="shared" si="20"/>
        <v>0</v>
      </c>
      <c r="AH11" s="360">
        <v>250</v>
      </c>
      <c r="AI11" s="362">
        <v>250</v>
      </c>
      <c r="AJ11" s="363">
        <f t="shared" si="21"/>
        <v>0</v>
      </c>
      <c r="AK11" s="360">
        <v>450</v>
      </c>
      <c r="AL11" s="362">
        <v>450</v>
      </c>
      <c r="AM11" s="363">
        <f t="shared" si="22"/>
        <v>0</v>
      </c>
      <c r="AN11" s="360">
        <v>550</v>
      </c>
      <c r="AO11" s="362">
        <v>550</v>
      </c>
      <c r="AP11" s="363">
        <f t="shared" si="23"/>
        <v>0</v>
      </c>
      <c r="AQ11" s="360">
        <v>350</v>
      </c>
      <c r="AR11" s="362">
        <v>350</v>
      </c>
      <c r="AS11" s="363">
        <f t="shared" si="24"/>
        <v>0</v>
      </c>
      <c r="AT11" s="360">
        <v>750</v>
      </c>
      <c r="AU11" s="362">
        <v>750</v>
      </c>
      <c r="AV11" s="363">
        <f t="shared" si="25"/>
        <v>0</v>
      </c>
      <c r="AW11" s="360">
        <v>1200</v>
      </c>
      <c r="AX11" s="362">
        <v>1200</v>
      </c>
      <c r="AY11" s="363">
        <f t="shared" si="26"/>
        <v>0</v>
      </c>
      <c r="AZ11" s="355"/>
    </row>
    <row r="12" spans="1:52" ht="16">
      <c r="A12" s="797"/>
      <c r="B12" s="800"/>
      <c r="C12" s="24" t="s">
        <v>121</v>
      </c>
      <c r="D12" s="356">
        <f t="shared" si="4"/>
        <v>1441674</v>
      </c>
      <c r="E12" s="357">
        <f t="shared" si="5"/>
        <v>1441674</v>
      </c>
      <c r="F12" s="358">
        <f t="shared" si="6"/>
        <v>0</v>
      </c>
      <c r="G12" s="360">
        <f t="shared" si="7"/>
        <v>240000</v>
      </c>
      <c r="H12" s="360">
        <f t="shared" si="0"/>
        <v>240000</v>
      </c>
      <c r="I12" s="361">
        <f t="shared" si="8"/>
        <v>0</v>
      </c>
      <c r="J12" s="360">
        <f t="shared" si="9"/>
        <v>2100</v>
      </c>
      <c r="K12" s="360">
        <f t="shared" si="1"/>
        <v>2100</v>
      </c>
      <c r="L12" s="361">
        <f t="shared" si="10"/>
        <v>0</v>
      </c>
      <c r="M12" s="360">
        <f t="shared" si="27"/>
        <v>979999.99999999988</v>
      </c>
      <c r="N12" s="362">
        <f t="shared" si="27"/>
        <v>979999.99999999988</v>
      </c>
      <c r="O12" s="361">
        <f t="shared" si="11"/>
        <v>0</v>
      </c>
      <c r="P12" s="360">
        <f t="shared" si="12"/>
        <v>3000</v>
      </c>
      <c r="Q12" s="362">
        <f t="shared" si="2"/>
        <v>3000</v>
      </c>
      <c r="R12" s="363">
        <f t="shared" si="13"/>
        <v>0</v>
      </c>
      <c r="S12" s="360">
        <f t="shared" si="28"/>
        <v>210000</v>
      </c>
      <c r="T12" s="362">
        <f t="shared" si="28"/>
        <v>210000</v>
      </c>
      <c r="U12" s="363">
        <f t="shared" si="14"/>
        <v>0</v>
      </c>
      <c r="V12" s="360">
        <f t="shared" si="15"/>
        <v>900</v>
      </c>
      <c r="W12" s="362">
        <f t="shared" si="15"/>
        <v>900</v>
      </c>
      <c r="X12" s="363">
        <f t="shared" si="16"/>
        <v>0</v>
      </c>
      <c r="Y12" s="360">
        <f t="shared" si="17"/>
        <v>600</v>
      </c>
      <c r="Z12" s="362">
        <f t="shared" si="3"/>
        <v>600</v>
      </c>
      <c r="AA12" s="363">
        <f t="shared" si="18"/>
        <v>0</v>
      </c>
      <c r="AB12" s="360">
        <v>1519</v>
      </c>
      <c r="AC12" s="362">
        <v>1519</v>
      </c>
      <c r="AD12" s="363">
        <f t="shared" si="19"/>
        <v>0</v>
      </c>
      <c r="AE12" s="360">
        <v>5</v>
      </c>
      <c r="AF12" s="362">
        <v>5</v>
      </c>
      <c r="AG12" s="363">
        <f t="shared" si="20"/>
        <v>0</v>
      </c>
      <c r="AH12" s="360">
        <v>250</v>
      </c>
      <c r="AI12" s="362">
        <v>250</v>
      </c>
      <c r="AJ12" s="363">
        <f t="shared" si="21"/>
        <v>0</v>
      </c>
      <c r="AK12" s="360">
        <v>450</v>
      </c>
      <c r="AL12" s="362">
        <v>450</v>
      </c>
      <c r="AM12" s="363">
        <f t="shared" si="22"/>
        <v>0</v>
      </c>
      <c r="AN12" s="360">
        <v>550</v>
      </c>
      <c r="AO12" s="362">
        <v>550</v>
      </c>
      <c r="AP12" s="363">
        <f t="shared" si="23"/>
        <v>0</v>
      </c>
      <c r="AQ12" s="360">
        <v>350</v>
      </c>
      <c r="AR12" s="362">
        <v>350</v>
      </c>
      <c r="AS12" s="363">
        <f t="shared" si="24"/>
        <v>0</v>
      </c>
      <c r="AT12" s="360">
        <v>750</v>
      </c>
      <c r="AU12" s="362">
        <v>750</v>
      </c>
      <c r="AV12" s="363">
        <f t="shared" si="25"/>
        <v>0</v>
      </c>
      <c r="AW12" s="360">
        <v>1200</v>
      </c>
      <c r="AX12" s="362">
        <v>1200</v>
      </c>
      <c r="AY12" s="363">
        <f t="shared" si="26"/>
        <v>0</v>
      </c>
      <c r="AZ12" s="355"/>
    </row>
    <row r="13" spans="1:52" ht="16">
      <c r="A13" s="797"/>
      <c r="B13" s="800"/>
      <c r="C13" s="24" t="s">
        <v>122</v>
      </c>
      <c r="D13" s="356">
        <f t="shared" si="4"/>
        <v>1441674</v>
      </c>
      <c r="E13" s="357">
        <f t="shared" si="5"/>
        <v>1441674</v>
      </c>
      <c r="F13" s="358">
        <f t="shared" si="6"/>
        <v>0</v>
      </c>
      <c r="G13" s="360">
        <f t="shared" si="7"/>
        <v>240000</v>
      </c>
      <c r="H13" s="360">
        <f t="shared" si="0"/>
        <v>240000</v>
      </c>
      <c r="I13" s="361">
        <f t="shared" si="8"/>
        <v>0</v>
      </c>
      <c r="J13" s="360">
        <f t="shared" si="9"/>
        <v>2100</v>
      </c>
      <c r="K13" s="360">
        <f t="shared" si="1"/>
        <v>2100</v>
      </c>
      <c r="L13" s="361">
        <f t="shared" si="10"/>
        <v>0</v>
      </c>
      <c r="M13" s="360">
        <f t="shared" si="27"/>
        <v>979999.99999999988</v>
      </c>
      <c r="N13" s="362">
        <f t="shared" si="27"/>
        <v>979999.99999999988</v>
      </c>
      <c r="O13" s="361">
        <f t="shared" si="11"/>
        <v>0</v>
      </c>
      <c r="P13" s="360">
        <f t="shared" si="12"/>
        <v>3000</v>
      </c>
      <c r="Q13" s="362">
        <f t="shared" si="2"/>
        <v>3000</v>
      </c>
      <c r="R13" s="363">
        <f t="shared" si="13"/>
        <v>0</v>
      </c>
      <c r="S13" s="360">
        <f t="shared" si="28"/>
        <v>210000</v>
      </c>
      <c r="T13" s="362">
        <f t="shared" si="28"/>
        <v>210000</v>
      </c>
      <c r="U13" s="363">
        <f t="shared" si="14"/>
        <v>0</v>
      </c>
      <c r="V13" s="360">
        <f t="shared" si="15"/>
        <v>900</v>
      </c>
      <c r="W13" s="362">
        <f t="shared" si="15"/>
        <v>900</v>
      </c>
      <c r="X13" s="363">
        <f t="shared" si="16"/>
        <v>0</v>
      </c>
      <c r="Y13" s="360">
        <f t="shared" si="17"/>
        <v>600</v>
      </c>
      <c r="Z13" s="362">
        <f t="shared" si="3"/>
        <v>600</v>
      </c>
      <c r="AA13" s="363">
        <f t="shared" si="18"/>
        <v>0</v>
      </c>
      <c r="AB13" s="360">
        <v>1519</v>
      </c>
      <c r="AC13" s="362">
        <v>1519</v>
      </c>
      <c r="AD13" s="363">
        <f t="shared" si="19"/>
        <v>0</v>
      </c>
      <c r="AE13" s="360">
        <v>5</v>
      </c>
      <c r="AF13" s="362">
        <v>5</v>
      </c>
      <c r="AG13" s="363">
        <f t="shared" si="20"/>
        <v>0</v>
      </c>
      <c r="AH13" s="360">
        <v>250</v>
      </c>
      <c r="AI13" s="362">
        <v>250</v>
      </c>
      <c r="AJ13" s="363">
        <f t="shared" si="21"/>
        <v>0</v>
      </c>
      <c r="AK13" s="360">
        <v>450</v>
      </c>
      <c r="AL13" s="362">
        <v>450</v>
      </c>
      <c r="AM13" s="363">
        <f t="shared" si="22"/>
        <v>0</v>
      </c>
      <c r="AN13" s="360">
        <v>550</v>
      </c>
      <c r="AO13" s="362">
        <v>550</v>
      </c>
      <c r="AP13" s="363">
        <f t="shared" si="23"/>
        <v>0</v>
      </c>
      <c r="AQ13" s="360">
        <v>350</v>
      </c>
      <c r="AR13" s="362">
        <v>350</v>
      </c>
      <c r="AS13" s="363">
        <f t="shared" si="24"/>
        <v>0</v>
      </c>
      <c r="AT13" s="360">
        <v>750</v>
      </c>
      <c r="AU13" s="362">
        <v>750</v>
      </c>
      <c r="AV13" s="363">
        <f t="shared" si="25"/>
        <v>0</v>
      </c>
      <c r="AW13" s="360">
        <v>1200</v>
      </c>
      <c r="AX13" s="362">
        <v>1200</v>
      </c>
      <c r="AY13" s="363">
        <f t="shared" si="26"/>
        <v>0</v>
      </c>
      <c r="AZ13" s="355"/>
    </row>
    <row r="14" spans="1:52" ht="16">
      <c r="A14" s="797"/>
      <c r="B14" s="800"/>
      <c r="C14" s="24" t="s">
        <v>123</v>
      </c>
      <c r="D14" s="356">
        <f t="shared" si="4"/>
        <v>1441674</v>
      </c>
      <c r="E14" s="357">
        <f t="shared" si="5"/>
        <v>1441674</v>
      </c>
      <c r="F14" s="358">
        <f t="shared" si="6"/>
        <v>0</v>
      </c>
      <c r="G14" s="360">
        <f t="shared" si="7"/>
        <v>240000</v>
      </c>
      <c r="H14" s="360">
        <f t="shared" si="0"/>
        <v>240000</v>
      </c>
      <c r="I14" s="361">
        <f t="shared" si="8"/>
        <v>0</v>
      </c>
      <c r="J14" s="360">
        <f t="shared" si="9"/>
        <v>2100</v>
      </c>
      <c r="K14" s="360">
        <f t="shared" si="1"/>
        <v>2100</v>
      </c>
      <c r="L14" s="361">
        <f t="shared" si="10"/>
        <v>0</v>
      </c>
      <c r="M14" s="360">
        <f t="shared" si="27"/>
        <v>979999.99999999988</v>
      </c>
      <c r="N14" s="362">
        <f t="shared" si="27"/>
        <v>979999.99999999988</v>
      </c>
      <c r="O14" s="361">
        <f t="shared" si="11"/>
        <v>0</v>
      </c>
      <c r="P14" s="360">
        <f t="shared" si="12"/>
        <v>3000</v>
      </c>
      <c r="Q14" s="362">
        <f t="shared" si="2"/>
        <v>3000</v>
      </c>
      <c r="R14" s="363">
        <f t="shared" si="13"/>
        <v>0</v>
      </c>
      <c r="S14" s="360">
        <f t="shared" si="28"/>
        <v>210000</v>
      </c>
      <c r="T14" s="362">
        <f t="shared" si="28"/>
        <v>210000</v>
      </c>
      <c r="U14" s="363">
        <f t="shared" si="14"/>
        <v>0</v>
      </c>
      <c r="V14" s="360">
        <f t="shared" si="15"/>
        <v>900</v>
      </c>
      <c r="W14" s="362">
        <f t="shared" si="15"/>
        <v>900</v>
      </c>
      <c r="X14" s="363">
        <f t="shared" si="16"/>
        <v>0</v>
      </c>
      <c r="Y14" s="360">
        <f t="shared" si="17"/>
        <v>600</v>
      </c>
      <c r="Z14" s="362">
        <f t="shared" si="3"/>
        <v>600</v>
      </c>
      <c r="AA14" s="363">
        <f t="shared" si="18"/>
        <v>0</v>
      </c>
      <c r="AB14" s="360">
        <v>1519</v>
      </c>
      <c r="AC14" s="362">
        <v>1519</v>
      </c>
      <c r="AD14" s="363">
        <f t="shared" si="19"/>
        <v>0</v>
      </c>
      <c r="AE14" s="360">
        <v>5</v>
      </c>
      <c r="AF14" s="362">
        <v>5</v>
      </c>
      <c r="AG14" s="363">
        <f t="shared" si="20"/>
        <v>0</v>
      </c>
      <c r="AH14" s="360">
        <v>250</v>
      </c>
      <c r="AI14" s="362">
        <v>250</v>
      </c>
      <c r="AJ14" s="363">
        <f t="shared" si="21"/>
        <v>0</v>
      </c>
      <c r="AK14" s="360">
        <v>450</v>
      </c>
      <c r="AL14" s="362">
        <v>450</v>
      </c>
      <c r="AM14" s="363">
        <f t="shared" si="22"/>
        <v>0</v>
      </c>
      <c r="AN14" s="360">
        <v>550</v>
      </c>
      <c r="AO14" s="362">
        <v>550</v>
      </c>
      <c r="AP14" s="363">
        <f t="shared" si="23"/>
        <v>0</v>
      </c>
      <c r="AQ14" s="360">
        <v>350</v>
      </c>
      <c r="AR14" s="362">
        <v>350</v>
      </c>
      <c r="AS14" s="363">
        <f t="shared" si="24"/>
        <v>0</v>
      </c>
      <c r="AT14" s="360">
        <v>750</v>
      </c>
      <c r="AU14" s="362">
        <v>750</v>
      </c>
      <c r="AV14" s="363">
        <f t="shared" si="25"/>
        <v>0</v>
      </c>
      <c r="AW14" s="360">
        <v>1200</v>
      </c>
      <c r="AX14" s="362">
        <v>1200</v>
      </c>
      <c r="AY14" s="363">
        <f t="shared" si="26"/>
        <v>0</v>
      </c>
      <c r="AZ14" s="355"/>
    </row>
    <row r="15" spans="1:52" ht="16">
      <c r="A15" s="798"/>
      <c r="B15" s="801"/>
      <c r="C15" s="364" t="s">
        <v>124</v>
      </c>
      <c r="D15" s="365">
        <f t="shared" si="4"/>
        <v>1441674</v>
      </c>
      <c r="E15" s="366">
        <f t="shared" si="5"/>
        <v>1441674</v>
      </c>
      <c r="F15" s="367">
        <f t="shared" si="6"/>
        <v>0</v>
      </c>
      <c r="G15" s="369">
        <f t="shared" si="7"/>
        <v>240000</v>
      </c>
      <c r="H15" s="369">
        <f t="shared" si="0"/>
        <v>240000</v>
      </c>
      <c r="I15" s="370">
        <f t="shared" si="8"/>
        <v>0</v>
      </c>
      <c r="J15" s="369">
        <f t="shared" si="9"/>
        <v>2100</v>
      </c>
      <c r="K15" s="369">
        <f t="shared" si="1"/>
        <v>2100</v>
      </c>
      <c r="L15" s="370">
        <f t="shared" si="10"/>
        <v>0</v>
      </c>
      <c r="M15" s="369">
        <f t="shared" si="27"/>
        <v>979999.99999999988</v>
      </c>
      <c r="N15" s="371">
        <f t="shared" si="27"/>
        <v>979999.99999999988</v>
      </c>
      <c r="O15" s="370">
        <f t="shared" si="11"/>
        <v>0</v>
      </c>
      <c r="P15" s="369">
        <f t="shared" si="12"/>
        <v>3000</v>
      </c>
      <c r="Q15" s="371">
        <f t="shared" si="2"/>
        <v>3000</v>
      </c>
      <c r="R15" s="372">
        <f t="shared" si="13"/>
        <v>0</v>
      </c>
      <c r="S15" s="360">
        <f t="shared" si="28"/>
        <v>210000</v>
      </c>
      <c r="T15" s="362">
        <f t="shared" si="28"/>
        <v>210000</v>
      </c>
      <c r="U15" s="372">
        <f t="shared" si="14"/>
        <v>0</v>
      </c>
      <c r="V15" s="369">
        <f t="shared" si="15"/>
        <v>900</v>
      </c>
      <c r="W15" s="371">
        <f t="shared" si="15"/>
        <v>900</v>
      </c>
      <c r="X15" s="372">
        <f t="shared" si="16"/>
        <v>0</v>
      </c>
      <c r="Y15" s="369">
        <f t="shared" si="17"/>
        <v>600</v>
      </c>
      <c r="Z15" s="371">
        <f t="shared" si="3"/>
        <v>600</v>
      </c>
      <c r="AA15" s="372">
        <f t="shared" si="18"/>
        <v>0</v>
      </c>
      <c r="AB15" s="369">
        <v>1519</v>
      </c>
      <c r="AC15" s="371">
        <v>1519</v>
      </c>
      <c r="AD15" s="372">
        <f t="shared" si="19"/>
        <v>0</v>
      </c>
      <c r="AE15" s="369">
        <v>5</v>
      </c>
      <c r="AF15" s="371">
        <v>5</v>
      </c>
      <c r="AG15" s="372">
        <f t="shared" si="20"/>
        <v>0</v>
      </c>
      <c r="AH15" s="369">
        <v>250</v>
      </c>
      <c r="AI15" s="371">
        <v>250</v>
      </c>
      <c r="AJ15" s="372">
        <f t="shared" si="21"/>
        <v>0</v>
      </c>
      <c r="AK15" s="369">
        <v>450</v>
      </c>
      <c r="AL15" s="371">
        <v>450</v>
      </c>
      <c r="AM15" s="372">
        <f t="shared" si="22"/>
        <v>0</v>
      </c>
      <c r="AN15" s="369">
        <v>550</v>
      </c>
      <c r="AO15" s="371">
        <v>550</v>
      </c>
      <c r="AP15" s="372">
        <f t="shared" si="23"/>
        <v>0</v>
      </c>
      <c r="AQ15" s="369">
        <v>350</v>
      </c>
      <c r="AR15" s="371">
        <v>350</v>
      </c>
      <c r="AS15" s="372">
        <f t="shared" si="24"/>
        <v>0</v>
      </c>
      <c r="AT15" s="369">
        <v>750</v>
      </c>
      <c r="AU15" s="371">
        <v>750</v>
      </c>
      <c r="AV15" s="372">
        <f t="shared" si="25"/>
        <v>0</v>
      </c>
      <c r="AW15" s="369">
        <v>1200</v>
      </c>
      <c r="AX15" s="371">
        <v>1200</v>
      </c>
      <c r="AY15" s="372">
        <f t="shared" si="26"/>
        <v>0</v>
      </c>
      <c r="AZ15" s="355"/>
    </row>
    <row r="16" spans="1:52" ht="16">
      <c r="A16" s="796" t="s">
        <v>189</v>
      </c>
      <c r="B16" s="799" t="s">
        <v>190</v>
      </c>
      <c r="C16" s="346" t="s">
        <v>115</v>
      </c>
      <c r="D16" s="373">
        <f t="shared" si="4"/>
        <v>0.24</v>
      </c>
      <c r="E16" s="374">
        <f t="shared" si="5"/>
        <v>0.24</v>
      </c>
      <c r="F16" s="375">
        <f t="shared" si="6"/>
        <v>0</v>
      </c>
      <c r="G16" s="376">
        <v>0.03</v>
      </c>
      <c r="H16" s="377">
        <v>0.03</v>
      </c>
      <c r="I16" s="378">
        <f t="shared" si="8"/>
        <v>0</v>
      </c>
      <c r="J16" s="377">
        <v>0.03</v>
      </c>
      <c r="K16" s="377">
        <v>0.03</v>
      </c>
      <c r="L16" s="378">
        <f t="shared" si="10"/>
        <v>0</v>
      </c>
      <c r="M16" s="377">
        <v>0.03</v>
      </c>
      <c r="N16" s="377">
        <v>0.03</v>
      </c>
      <c r="O16" s="378">
        <f t="shared" si="11"/>
        <v>0</v>
      </c>
      <c r="P16" s="377">
        <v>0.03</v>
      </c>
      <c r="Q16" s="379">
        <v>0.03</v>
      </c>
      <c r="R16" s="380">
        <f t="shared" si="13"/>
        <v>0</v>
      </c>
      <c r="S16" s="377">
        <v>0.03</v>
      </c>
      <c r="T16" s="379">
        <v>0.03</v>
      </c>
      <c r="U16" s="380">
        <f t="shared" si="14"/>
        <v>0</v>
      </c>
      <c r="V16" s="377">
        <v>0.03</v>
      </c>
      <c r="W16" s="379">
        <v>0.03</v>
      </c>
      <c r="X16" s="380">
        <f t="shared" si="16"/>
        <v>0</v>
      </c>
      <c r="Y16" s="377">
        <v>0.03</v>
      </c>
      <c r="Z16" s="379">
        <v>0.03</v>
      </c>
      <c r="AA16" s="380">
        <f t="shared" si="18"/>
        <v>0</v>
      </c>
      <c r="AB16" s="377">
        <v>0.03</v>
      </c>
      <c r="AC16" s="379">
        <v>0.03</v>
      </c>
      <c r="AD16" s="380">
        <f t="shared" si="19"/>
        <v>0</v>
      </c>
      <c r="AE16" s="377"/>
      <c r="AF16" s="379"/>
      <c r="AG16" s="380">
        <f t="shared" si="20"/>
        <v>0</v>
      </c>
      <c r="AH16" s="377"/>
      <c r="AI16" s="379"/>
      <c r="AJ16" s="380">
        <f t="shared" si="21"/>
        <v>0</v>
      </c>
      <c r="AK16" s="377"/>
      <c r="AL16" s="379"/>
      <c r="AM16" s="380">
        <f t="shared" si="22"/>
        <v>0</v>
      </c>
      <c r="AN16" s="377"/>
      <c r="AO16" s="379"/>
      <c r="AP16" s="380">
        <f t="shared" si="23"/>
        <v>0</v>
      </c>
      <c r="AQ16" s="377"/>
      <c r="AR16" s="379"/>
      <c r="AS16" s="380">
        <f t="shared" si="24"/>
        <v>0</v>
      </c>
      <c r="AT16" s="377"/>
      <c r="AU16" s="379"/>
      <c r="AV16" s="380">
        <f t="shared" si="25"/>
        <v>0</v>
      </c>
      <c r="AW16" s="377"/>
      <c r="AX16" s="379"/>
      <c r="AY16" s="380">
        <f t="shared" si="26"/>
        <v>0</v>
      </c>
      <c r="AZ16" s="355"/>
    </row>
    <row r="17" spans="1:52" ht="16">
      <c r="A17" s="797"/>
      <c r="B17" s="800"/>
      <c r="C17" s="24" t="s">
        <v>116</v>
      </c>
      <c r="D17" s="381">
        <f t="shared" si="4"/>
        <v>0.24</v>
      </c>
      <c r="E17" s="382">
        <f t="shared" si="5"/>
        <v>0.24</v>
      </c>
      <c r="F17" s="383">
        <f t="shared" si="6"/>
        <v>0</v>
      </c>
      <c r="G17" s="384">
        <v>0.03</v>
      </c>
      <c r="H17" s="385">
        <v>0.03</v>
      </c>
      <c r="I17" s="386">
        <f t="shared" si="8"/>
        <v>0</v>
      </c>
      <c r="J17" s="385">
        <v>0.03</v>
      </c>
      <c r="K17" s="385">
        <v>0.03</v>
      </c>
      <c r="L17" s="386">
        <f t="shared" si="10"/>
        <v>0</v>
      </c>
      <c r="M17" s="385">
        <v>0.03</v>
      </c>
      <c r="N17" s="385">
        <v>0.03</v>
      </c>
      <c r="O17" s="386">
        <f t="shared" si="11"/>
        <v>0</v>
      </c>
      <c r="P17" s="385">
        <v>0.03</v>
      </c>
      <c r="Q17" s="387">
        <v>0.03</v>
      </c>
      <c r="R17" s="388">
        <f t="shared" si="13"/>
        <v>0</v>
      </c>
      <c r="S17" s="385">
        <v>0.03</v>
      </c>
      <c r="T17" s="387">
        <v>0.03</v>
      </c>
      <c r="U17" s="388">
        <f t="shared" si="14"/>
        <v>0</v>
      </c>
      <c r="V17" s="385">
        <v>0.03</v>
      </c>
      <c r="W17" s="387">
        <v>0.03</v>
      </c>
      <c r="X17" s="388">
        <f t="shared" si="16"/>
        <v>0</v>
      </c>
      <c r="Y17" s="385">
        <v>0.03</v>
      </c>
      <c r="Z17" s="387">
        <v>0.03</v>
      </c>
      <c r="AA17" s="388">
        <f t="shared" si="18"/>
        <v>0</v>
      </c>
      <c r="AB17" s="385">
        <v>0.03</v>
      </c>
      <c r="AC17" s="387">
        <v>0.03</v>
      </c>
      <c r="AD17" s="388">
        <f t="shared" si="19"/>
        <v>0</v>
      </c>
      <c r="AE17" s="385"/>
      <c r="AF17" s="387"/>
      <c r="AG17" s="388">
        <f t="shared" si="20"/>
        <v>0</v>
      </c>
      <c r="AH17" s="385"/>
      <c r="AI17" s="387"/>
      <c r="AJ17" s="388">
        <f t="shared" si="21"/>
        <v>0</v>
      </c>
      <c r="AK17" s="385"/>
      <c r="AL17" s="387"/>
      <c r="AM17" s="388">
        <f t="shared" si="22"/>
        <v>0</v>
      </c>
      <c r="AN17" s="385"/>
      <c r="AO17" s="387"/>
      <c r="AP17" s="388">
        <f t="shared" si="23"/>
        <v>0</v>
      </c>
      <c r="AQ17" s="385"/>
      <c r="AR17" s="387"/>
      <c r="AS17" s="388">
        <f t="shared" si="24"/>
        <v>0</v>
      </c>
      <c r="AT17" s="385"/>
      <c r="AU17" s="387"/>
      <c r="AV17" s="388">
        <f t="shared" si="25"/>
        <v>0</v>
      </c>
      <c r="AW17" s="385"/>
      <c r="AX17" s="387"/>
      <c r="AY17" s="388">
        <f t="shared" si="26"/>
        <v>0</v>
      </c>
      <c r="AZ17" s="355"/>
    </row>
    <row r="18" spans="1:52" ht="16">
      <c r="A18" s="797"/>
      <c r="B18" s="800"/>
      <c r="C18" s="24" t="s">
        <v>117</v>
      </c>
      <c r="D18" s="381">
        <f t="shared" si="4"/>
        <v>0.24</v>
      </c>
      <c r="E18" s="382">
        <f t="shared" si="5"/>
        <v>0</v>
      </c>
      <c r="F18" s="383">
        <f t="shared" si="6"/>
        <v>-0.24</v>
      </c>
      <c r="G18" s="384">
        <v>0.03</v>
      </c>
      <c r="H18" s="385">
        <v>0</v>
      </c>
      <c r="I18" s="386">
        <f t="shared" si="8"/>
        <v>-0.03</v>
      </c>
      <c r="J18" s="385">
        <v>0.03</v>
      </c>
      <c r="K18" s="385">
        <v>0</v>
      </c>
      <c r="L18" s="386">
        <f t="shared" si="10"/>
        <v>-0.03</v>
      </c>
      <c r="M18" s="385">
        <v>0.03</v>
      </c>
      <c r="N18" s="385">
        <v>0</v>
      </c>
      <c r="O18" s="386">
        <f t="shared" si="11"/>
        <v>-0.03</v>
      </c>
      <c r="P18" s="385">
        <v>0.03</v>
      </c>
      <c r="Q18" s="387">
        <v>0</v>
      </c>
      <c r="R18" s="388">
        <f t="shared" si="13"/>
        <v>-0.03</v>
      </c>
      <c r="S18" s="385">
        <v>0.03</v>
      </c>
      <c r="T18" s="387">
        <v>0</v>
      </c>
      <c r="U18" s="388">
        <f t="shared" si="14"/>
        <v>-0.03</v>
      </c>
      <c r="V18" s="385">
        <v>0.03</v>
      </c>
      <c r="W18" s="387">
        <v>0</v>
      </c>
      <c r="X18" s="388">
        <f t="shared" si="16"/>
        <v>-0.03</v>
      </c>
      <c r="Y18" s="385">
        <v>0.03</v>
      </c>
      <c r="Z18" s="387">
        <v>0</v>
      </c>
      <c r="AA18" s="388">
        <f t="shared" si="18"/>
        <v>-0.03</v>
      </c>
      <c r="AB18" s="385">
        <v>0.03</v>
      </c>
      <c r="AC18" s="387">
        <v>0</v>
      </c>
      <c r="AD18" s="388">
        <f t="shared" si="19"/>
        <v>-0.03</v>
      </c>
      <c r="AE18" s="385"/>
      <c r="AF18" s="387"/>
      <c r="AG18" s="388">
        <f t="shared" si="20"/>
        <v>0</v>
      </c>
      <c r="AH18" s="385"/>
      <c r="AI18" s="387"/>
      <c r="AJ18" s="388">
        <f t="shared" si="21"/>
        <v>0</v>
      </c>
      <c r="AK18" s="385"/>
      <c r="AL18" s="387"/>
      <c r="AM18" s="388">
        <f t="shared" si="22"/>
        <v>0</v>
      </c>
      <c r="AN18" s="385"/>
      <c r="AO18" s="387"/>
      <c r="AP18" s="388">
        <f t="shared" si="23"/>
        <v>0</v>
      </c>
      <c r="AQ18" s="385"/>
      <c r="AR18" s="387"/>
      <c r="AS18" s="388">
        <f t="shared" si="24"/>
        <v>0</v>
      </c>
      <c r="AT18" s="385"/>
      <c r="AU18" s="387"/>
      <c r="AV18" s="388">
        <f t="shared" si="25"/>
        <v>0</v>
      </c>
      <c r="AW18" s="385"/>
      <c r="AX18" s="387"/>
      <c r="AY18" s="388">
        <f t="shared" si="26"/>
        <v>0</v>
      </c>
      <c r="AZ18" s="355"/>
    </row>
    <row r="19" spans="1:52" ht="16">
      <c r="A19" s="797"/>
      <c r="B19" s="800"/>
      <c r="C19" s="24" t="s">
        <v>118</v>
      </c>
      <c r="D19" s="381">
        <f t="shared" si="4"/>
        <v>0.24</v>
      </c>
      <c r="E19" s="382">
        <f t="shared" si="5"/>
        <v>0</v>
      </c>
      <c r="F19" s="383">
        <f t="shared" si="6"/>
        <v>-0.24</v>
      </c>
      <c r="G19" s="384">
        <v>0.03</v>
      </c>
      <c r="H19" s="385">
        <v>0</v>
      </c>
      <c r="I19" s="386">
        <f t="shared" si="8"/>
        <v>-0.03</v>
      </c>
      <c r="J19" s="385">
        <v>0.03</v>
      </c>
      <c r="K19" s="385">
        <v>0</v>
      </c>
      <c r="L19" s="386">
        <f t="shared" si="10"/>
        <v>-0.03</v>
      </c>
      <c r="M19" s="385">
        <v>0.03</v>
      </c>
      <c r="N19" s="385">
        <v>0</v>
      </c>
      <c r="O19" s="386">
        <f t="shared" si="11"/>
        <v>-0.03</v>
      </c>
      <c r="P19" s="385">
        <v>0.03</v>
      </c>
      <c r="Q19" s="387">
        <v>0</v>
      </c>
      <c r="R19" s="388">
        <f t="shared" si="13"/>
        <v>-0.03</v>
      </c>
      <c r="S19" s="385">
        <v>0.03</v>
      </c>
      <c r="T19" s="387">
        <v>0</v>
      </c>
      <c r="U19" s="388">
        <f t="shared" si="14"/>
        <v>-0.03</v>
      </c>
      <c r="V19" s="385">
        <v>0.03</v>
      </c>
      <c r="W19" s="387">
        <v>0</v>
      </c>
      <c r="X19" s="388">
        <f t="shared" si="16"/>
        <v>-0.03</v>
      </c>
      <c r="Y19" s="385">
        <v>0.03</v>
      </c>
      <c r="Z19" s="387">
        <v>0</v>
      </c>
      <c r="AA19" s="388">
        <f t="shared" si="18"/>
        <v>-0.03</v>
      </c>
      <c r="AB19" s="385">
        <v>0.03</v>
      </c>
      <c r="AC19" s="387">
        <v>0</v>
      </c>
      <c r="AD19" s="388">
        <f t="shared" si="19"/>
        <v>-0.03</v>
      </c>
      <c r="AE19" s="385"/>
      <c r="AF19" s="387"/>
      <c r="AG19" s="388">
        <f t="shared" si="20"/>
        <v>0</v>
      </c>
      <c r="AH19" s="385"/>
      <c r="AI19" s="387"/>
      <c r="AJ19" s="388">
        <f t="shared" si="21"/>
        <v>0</v>
      </c>
      <c r="AK19" s="385"/>
      <c r="AL19" s="387"/>
      <c r="AM19" s="388">
        <f t="shared" si="22"/>
        <v>0</v>
      </c>
      <c r="AN19" s="385"/>
      <c r="AO19" s="387"/>
      <c r="AP19" s="388">
        <f t="shared" si="23"/>
        <v>0</v>
      </c>
      <c r="AQ19" s="385"/>
      <c r="AR19" s="387"/>
      <c r="AS19" s="388">
        <f t="shared" si="24"/>
        <v>0</v>
      </c>
      <c r="AT19" s="385"/>
      <c r="AU19" s="387"/>
      <c r="AV19" s="388">
        <f t="shared" si="25"/>
        <v>0</v>
      </c>
      <c r="AW19" s="385"/>
      <c r="AX19" s="387"/>
      <c r="AY19" s="388">
        <f t="shared" si="26"/>
        <v>0</v>
      </c>
      <c r="AZ19" s="355"/>
    </row>
    <row r="20" spans="1:52" ht="16">
      <c r="A20" s="797"/>
      <c r="B20" s="800"/>
      <c r="C20" s="24" t="s">
        <v>119</v>
      </c>
      <c r="D20" s="381">
        <f t="shared" si="4"/>
        <v>0.24</v>
      </c>
      <c r="E20" s="382">
        <f t="shared" si="5"/>
        <v>0</v>
      </c>
      <c r="F20" s="383">
        <f t="shared" si="6"/>
        <v>-0.24</v>
      </c>
      <c r="G20" s="384">
        <v>0.03</v>
      </c>
      <c r="H20" s="385">
        <v>0</v>
      </c>
      <c r="I20" s="386">
        <f t="shared" si="8"/>
        <v>-0.03</v>
      </c>
      <c r="J20" s="385">
        <v>0.03</v>
      </c>
      <c r="K20" s="385">
        <v>0</v>
      </c>
      <c r="L20" s="386">
        <f t="shared" si="10"/>
        <v>-0.03</v>
      </c>
      <c r="M20" s="385">
        <v>0.03</v>
      </c>
      <c r="N20" s="385">
        <v>0</v>
      </c>
      <c r="O20" s="386">
        <f t="shared" si="11"/>
        <v>-0.03</v>
      </c>
      <c r="P20" s="385">
        <v>0.03</v>
      </c>
      <c r="Q20" s="387">
        <v>0</v>
      </c>
      <c r="R20" s="388">
        <f t="shared" si="13"/>
        <v>-0.03</v>
      </c>
      <c r="S20" s="385">
        <v>0.03</v>
      </c>
      <c r="T20" s="387">
        <v>0</v>
      </c>
      <c r="U20" s="388">
        <f t="shared" si="14"/>
        <v>-0.03</v>
      </c>
      <c r="V20" s="385">
        <v>0.03</v>
      </c>
      <c r="W20" s="387">
        <v>0</v>
      </c>
      <c r="X20" s="388">
        <f t="shared" si="16"/>
        <v>-0.03</v>
      </c>
      <c r="Y20" s="385">
        <v>0.03</v>
      </c>
      <c r="Z20" s="387">
        <v>0</v>
      </c>
      <c r="AA20" s="388">
        <f t="shared" si="18"/>
        <v>-0.03</v>
      </c>
      <c r="AB20" s="385">
        <v>0.03</v>
      </c>
      <c r="AC20" s="387">
        <v>0</v>
      </c>
      <c r="AD20" s="388">
        <f t="shared" si="19"/>
        <v>-0.03</v>
      </c>
      <c r="AE20" s="385"/>
      <c r="AF20" s="387"/>
      <c r="AG20" s="388">
        <f t="shared" si="20"/>
        <v>0</v>
      </c>
      <c r="AH20" s="385"/>
      <c r="AI20" s="387"/>
      <c r="AJ20" s="388">
        <f t="shared" si="21"/>
        <v>0</v>
      </c>
      <c r="AK20" s="385"/>
      <c r="AL20" s="387"/>
      <c r="AM20" s="388">
        <f t="shared" si="22"/>
        <v>0</v>
      </c>
      <c r="AN20" s="385"/>
      <c r="AO20" s="387"/>
      <c r="AP20" s="388">
        <f t="shared" si="23"/>
        <v>0</v>
      </c>
      <c r="AQ20" s="385"/>
      <c r="AR20" s="387"/>
      <c r="AS20" s="388">
        <f t="shared" si="24"/>
        <v>0</v>
      </c>
      <c r="AT20" s="385"/>
      <c r="AU20" s="387"/>
      <c r="AV20" s="388">
        <f t="shared" si="25"/>
        <v>0</v>
      </c>
      <c r="AW20" s="385"/>
      <c r="AX20" s="387"/>
      <c r="AY20" s="388">
        <f t="shared" si="26"/>
        <v>0</v>
      </c>
      <c r="AZ20" s="355"/>
    </row>
    <row r="21" spans="1:52" ht="16">
      <c r="A21" s="797"/>
      <c r="B21" s="800"/>
      <c r="C21" s="24" t="s">
        <v>120</v>
      </c>
      <c r="D21" s="381">
        <f t="shared" si="4"/>
        <v>0.24</v>
      </c>
      <c r="E21" s="382">
        <f t="shared" si="5"/>
        <v>0</v>
      </c>
      <c r="F21" s="383">
        <f t="shared" si="6"/>
        <v>-0.24</v>
      </c>
      <c r="G21" s="384">
        <v>0.03</v>
      </c>
      <c r="H21" s="385">
        <v>0</v>
      </c>
      <c r="I21" s="386">
        <f t="shared" si="8"/>
        <v>-0.03</v>
      </c>
      <c r="J21" s="385">
        <v>0.03</v>
      </c>
      <c r="K21" s="385">
        <v>0</v>
      </c>
      <c r="L21" s="386">
        <f t="shared" si="10"/>
        <v>-0.03</v>
      </c>
      <c r="M21" s="385">
        <v>0.03</v>
      </c>
      <c r="N21" s="385">
        <v>0</v>
      </c>
      <c r="O21" s="386">
        <f t="shared" si="11"/>
        <v>-0.03</v>
      </c>
      <c r="P21" s="385">
        <v>0.03</v>
      </c>
      <c r="Q21" s="387">
        <v>0</v>
      </c>
      <c r="R21" s="388">
        <f t="shared" si="13"/>
        <v>-0.03</v>
      </c>
      <c r="S21" s="385">
        <v>0.03</v>
      </c>
      <c r="T21" s="387">
        <v>0</v>
      </c>
      <c r="U21" s="388">
        <f t="shared" si="14"/>
        <v>-0.03</v>
      </c>
      <c r="V21" s="385">
        <v>0.03</v>
      </c>
      <c r="W21" s="387">
        <v>0</v>
      </c>
      <c r="X21" s="388">
        <f t="shared" si="16"/>
        <v>-0.03</v>
      </c>
      <c r="Y21" s="385">
        <v>0.03</v>
      </c>
      <c r="Z21" s="387">
        <v>0</v>
      </c>
      <c r="AA21" s="388">
        <f t="shared" si="18"/>
        <v>-0.03</v>
      </c>
      <c r="AB21" s="385">
        <v>0.03</v>
      </c>
      <c r="AC21" s="387">
        <v>0</v>
      </c>
      <c r="AD21" s="388">
        <f t="shared" si="19"/>
        <v>-0.03</v>
      </c>
      <c r="AE21" s="385"/>
      <c r="AF21" s="387"/>
      <c r="AG21" s="388">
        <f t="shared" si="20"/>
        <v>0</v>
      </c>
      <c r="AH21" s="385"/>
      <c r="AI21" s="387"/>
      <c r="AJ21" s="388">
        <f t="shared" si="21"/>
        <v>0</v>
      </c>
      <c r="AK21" s="385"/>
      <c r="AL21" s="387"/>
      <c r="AM21" s="388">
        <f t="shared" si="22"/>
        <v>0</v>
      </c>
      <c r="AN21" s="385"/>
      <c r="AO21" s="387"/>
      <c r="AP21" s="388">
        <f t="shared" si="23"/>
        <v>0</v>
      </c>
      <c r="AQ21" s="385"/>
      <c r="AR21" s="387"/>
      <c r="AS21" s="388">
        <f t="shared" si="24"/>
        <v>0</v>
      </c>
      <c r="AT21" s="385"/>
      <c r="AU21" s="387"/>
      <c r="AV21" s="388">
        <f t="shared" si="25"/>
        <v>0</v>
      </c>
      <c r="AW21" s="385"/>
      <c r="AX21" s="387"/>
      <c r="AY21" s="388">
        <f t="shared" si="26"/>
        <v>0</v>
      </c>
      <c r="AZ21" s="355"/>
    </row>
    <row r="22" spans="1:52" ht="16">
      <c r="A22" s="797"/>
      <c r="B22" s="800"/>
      <c r="C22" s="24" t="s">
        <v>121</v>
      </c>
      <c r="D22" s="381">
        <f t="shared" si="4"/>
        <v>0.24</v>
      </c>
      <c r="E22" s="382">
        <f t="shared" si="5"/>
        <v>0</v>
      </c>
      <c r="F22" s="383">
        <f t="shared" si="6"/>
        <v>-0.24</v>
      </c>
      <c r="G22" s="384">
        <v>0.03</v>
      </c>
      <c r="H22" s="385">
        <v>0</v>
      </c>
      <c r="I22" s="386">
        <f t="shared" si="8"/>
        <v>-0.03</v>
      </c>
      <c r="J22" s="385">
        <v>0.03</v>
      </c>
      <c r="K22" s="385">
        <v>0</v>
      </c>
      <c r="L22" s="386">
        <f t="shared" si="10"/>
        <v>-0.03</v>
      </c>
      <c r="M22" s="385">
        <v>0.03</v>
      </c>
      <c r="N22" s="385">
        <v>0</v>
      </c>
      <c r="O22" s="386">
        <f t="shared" si="11"/>
        <v>-0.03</v>
      </c>
      <c r="P22" s="385">
        <v>0.03</v>
      </c>
      <c r="Q22" s="387">
        <v>0</v>
      </c>
      <c r="R22" s="388">
        <f t="shared" si="13"/>
        <v>-0.03</v>
      </c>
      <c r="S22" s="385">
        <v>0.03</v>
      </c>
      <c r="T22" s="387">
        <v>0</v>
      </c>
      <c r="U22" s="388">
        <f t="shared" si="14"/>
        <v>-0.03</v>
      </c>
      <c r="V22" s="385">
        <v>0.03</v>
      </c>
      <c r="W22" s="387">
        <v>0</v>
      </c>
      <c r="X22" s="388">
        <f t="shared" si="16"/>
        <v>-0.03</v>
      </c>
      <c r="Y22" s="385">
        <v>0.03</v>
      </c>
      <c r="Z22" s="387">
        <v>0</v>
      </c>
      <c r="AA22" s="388">
        <f t="shared" si="18"/>
        <v>-0.03</v>
      </c>
      <c r="AB22" s="385">
        <v>0.03</v>
      </c>
      <c r="AC22" s="387">
        <v>0</v>
      </c>
      <c r="AD22" s="388">
        <f t="shared" si="19"/>
        <v>-0.03</v>
      </c>
      <c r="AE22" s="385"/>
      <c r="AF22" s="387"/>
      <c r="AG22" s="388">
        <f t="shared" si="20"/>
        <v>0</v>
      </c>
      <c r="AH22" s="385"/>
      <c r="AI22" s="387"/>
      <c r="AJ22" s="388">
        <f t="shared" si="21"/>
        <v>0</v>
      </c>
      <c r="AK22" s="385"/>
      <c r="AL22" s="387"/>
      <c r="AM22" s="388">
        <f t="shared" si="22"/>
        <v>0</v>
      </c>
      <c r="AN22" s="385"/>
      <c r="AO22" s="387"/>
      <c r="AP22" s="388">
        <f t="shared" si="23"/>
        <v>0</v>
      </c>
      <c r="AQ22" s="385"/>
      <c r="AR22" s="387"/>
      <c r="AS22" s="388">
        <f t="shared" si="24"/>
        <v>0</v>
      </c>
      <c r="AT22" s="385"/>
      <c r="AU22" s="387"/>
      <c r="AV22" s="388">
        <f t="shared" si="25"/>
        <v>0</v>
      </c>
      <c r="AW22" s="385"/>
      <c r="AX22" s="387"/>
      <c r="AY22" s="388">
        <f t="shared" si="26"/>
        <v>0</v>
      </c>
      <c r="AZ22" s="355"/>
    </row>
    <row r="23" spans="1:52" ht="16">
      <c r="A23" s="797"/>
      <c r="B23" s="800"/>
      <c r="C23" s="24" t="s">
        <v>122</v>
      </c>
      <c r="D23" s="381">
        <f t="shared" si="4"/>
        <v>0.24</v>
      </c>
      <c r="E23" s="382">
        <f t="shared" si="5"/>
        <v>0</v>
      </c>
      <c r="F23" s="383">
        <f t="shared" si="6"/>
        <v>-0.24</v>
      </c>
      <c r="G23" s="384">
        <v>0.03</v>
      </c>
      <c r="H23" s="385">
        <v>0</v>
      </c>
      <c r="I23" s="386">
        <f t="shared" si="8"/>
        <v>-0.03</v>
      </c>
      <c r="J23" s="385">
        <v>0.03</v>
      </c>
      <c r="K23" s="385">
        <v>0</v>
      </c>
      <c r="L23" s="386">
        <f t="shared" si="10"/>
        <v>-0.03</v>
      </c>
      <c r="M23" s="385">
        <v>0.03</v>
      </c>
      <c r="N23" s="385">
        <v>0</v>
      </c>
      <c r="O23" s="386">
        <f t="shared" si="11"/>
        <v>-0.03</v>
      </c>
      <c r="P23" s="385">
        <v>0.03</v>
      </c>
      <c r="Q23" s="387">
        <v>0</v>
      </c>
      <c r="R23" s="388">
        <f t="shared" si="13"/>
        <v>-0.03</v>
      </c>
      <c r="S23" s="385">
        <v>0.03</v>
      </c>
      <c r="T23" s="387">
        <v>0</v>
      </c>
      <c r="U23" s="388">
        <f t="shared" si="14"/>
        <v>-0.03</v>
      </c>
      <c r="V23" s="385">
        <v>0.03</v>
      </c>
      <c r="W23" s="387">
        <v>0</v>
      </c>
      <c r="X23" s="388">
        <f t="shared" si="16"/>
        <v>-0.03</v>
      </c>
      <c r="Y23" s="385">
        <v>0.03</v>
      </c>
      <c r="Z23" s="387">
        <v>0</v>
      </c>
      <c r="AA23" s="388">
        <f t="shared" si="18"/>
        <v>-0.03</v>
      </c>
      <c r="AB23" s="385">
        <v>0.03</v>
      </c>
      <c r="AC23" s="387">
        <v>0</v>
      </c>
      <c r="AD23" s="388">
        <f t="shared" si="19"/>
        <v>-0.03</v>
      </c>
      <c r="AE23" s="385"/>
      <c r="AF23" s="387"/>
      <c r="AG23" s="388">
        <f t="shared" si="20"/>
        <v>0</v>
      </c>
      <c r="AH23" s="385"/>
      <c r="AI23" s="387"/>
      <c r="AJ23" s="388">
        <f t="shared" si="21"/>
        <v>0</v>
      </c>
      <c r="AK23" s="385"/>
      <c r="AL23" s="387"/>
      <c r="AM23" s="388">
        <f t="shared" si="22"/>
        <v>0</v>
      </c>
      <c r="AN23" s="385"/>
      <c r="AO23" s="387"/>
      <c r="AP23" s="388">
        <f t="shared" si="23"/>
        <v>0</v>
      </c>
      <c r="AQ23" s="385"/>
      <c r="AR23" s="387"/>
      <c r="AS23" s="388">
        <f t="shared" si="24"/>
        <v>0</v>
      </c>
      <c r="AT23" s="385"/>
      <c r="AU23" s="387"/>
      <c r="AV23" s="388">
        <f t="shared" si="25"/>
        <v>0</v>
      </c>
      <c r="AW23" s="385"/>
      <c r="AX23" s="387"/>
      <c r="AY23" s="388">
        <f t="shared" si="26"/>
        <v>0</v>
      </c>
      <c r="AZ23" s="355"/>
    </row>
    <row r="24" spans="1:52" ht="16">
      <c r="A24" s="797"/>
      <c r="B24" s="800"/>
      <c r="C24" s="24" t="s">
        <v>123</v>
      </c>
      <c r="D24" s="381">
        <f t="shared" si="4"/>
        <v>0.24</v>
      </c>
      <c r="E24" s="382">
        <f t="shared" si="5"/>
        <v>0</v>
      </c>
      <c r="F24" s="383">
        <f t="shared" si="6"/>
        <v>-0.24</v>
      </c>
      <c r="G24" s="384">
        <v>0.03</v>
      </c>
      <c r="H24" s="385">
        <v>0</v>
      </c>
      <c r="I24" s="386">
        <f t="shared" si="8"/>
        <v>-0.03</v>
      </c>
      <c r="J24" s="385">
        <v>0.03</v>
      </c>
      <c r="K24" s="385">
        <v>0</v>
      </c>
      <c r="L24" s="386">
        <f t="shared" si="10"/>
        <v>-0.03</v>
      </c>
      <c r="M24" s="385">
        <v>0.03</v>
      </c>
      <c r="N24" s="385">
        <v>0</v>
      </c>
      <c r="O24" s="386">
        <f t="shared" si="11"/>
        <v>-0.03</v>
      </c>
      <c r="P24" s="385">
        <v>0.03</v>
      </c>
      <c r="Q24" s="387">
        <v>0</v>
      </c>
      <c r="R24" s="388">
        <f t="shared" si="13"/>
        <v>-0.03</v>
      </c>
      <c r="S24" s="385">
        <v>0.03</v>
      </c>
      <c r="T24" s="387">
        <v>0</v>
      </c>
      <c r="U24" s="388">
        <f t="shared" si="14"/>
        <v>-0.03</v>
      </c>
      <c r="V24" s="385">
        <v>0.03</v>
      </c>
      <c r="W24" s="387">
        <v>0</v>
      </c>
      <c r="X24" s="388">
        <f t="shared" si="16"/>
        <v>-0.03</v>
      </c>
      <c r="Y24" s="385">
        <v>0.03</v>
      </c>
      <c r="Z24" s="387">
        <v>0</v>
      </c>
      <c r="AA24" s="388">
        <f t="shared" si="18"/>
        <v>-0.03</v>
      </c>
      <c r="AB24" s="385">
        <v>0.03</v>
      </c>
      <c r="AC24" s="387">
        <v>0</v>
      </c>
      <c r="AD24" s="388">
        <f t="shared" si="19"/>
        <v>-0.03</v>
      </c>
      <c r="AE24" s="385"/>
      <c r="AF24" s="387"/>
      <c r="AG24" s="388">
        <f t="shared" si="20"/>
        <v>0</v>
      </c>
      <c r="AH24" s="385"/>
      <c r="AI24" s="387"/>
      <c r="AJ24" s="388">
        <f t="shared" si="21"/>
        <v>0</v>
      </c>
      <c r="AK24" s="385"/>
      <c r="AL24" s="387"/>
      <c r="AM24" s="388">
        <f t="shared" si="22"/>
        <v>0</v>
      </c>
      <c r="AN24" s="385"/>
      <c r="AO24" s="387"/>
      <c r="AP24" s="388">
        <f t="shared" si="23"/>
        <v>0</v>
      </c>
      <c r="AQ24" s="385"/>
      <c r="AR24" s="387"/>
      <c r="AS24" s="388">
        <f t="shared" si="24"/>
        <v>0</v>
      </c>
      <c r="AT24" s="385"/>
      <c r="AU24" s="387"/>
      <c r="AV24" s="388">
        <f t="shared" si="25"/>
        <v>0</v>
      </c>
      <c r="AW24" s="385"/>
      <c r="AX24" s="387"/>
      <c r="AY24" s="388">
        <f t="shared" si="26"/>
        <v>0</v>
      </c>
      <c r="AZ24" s="355"/>
    </row>
    <row r="25" spans="1:52" ht="17" thickBot="1">
      <c r="A25" s="798"/>
      <c r="B25" s="801"/>
      <c r="C25" s="364" t="s">
        <v>124</v>
      </c>
      <c r="D25" s="389">
        <f t="shared" si="4"/>
        <v>0.24</v>
      </c>
      <c r="E25" s="390">
        <f t="shared" si="5"/>
        <v>0</v>
      </c>
      <c r="F25" s="391">
        <f t="shared" si="6"/>
        <v>-0.24</v>
      </c>
      <c r="G25" s="392">
        <v>0.03</v>
      </c>
      <c r="H25" s="393">
        <v>0</v>
      </c>
      <c r="I25" s="394">
        <f t="shared" si="8"/>
        <v>-0.03</v>
      </c>
      <c r="J25" s="393">
        <v>0.03</v>
      </c>
      <c r="K25" s="393">
        <v>0</v>
      </c>
      <c r="L25" s="394">
        <f t="shared" si="10"/>
        <v>-0.03</v>
      </c>
      <c r="M25" s="393">
        <v>0.03</v>
      </c>
      <c r="N25" s="393">
        <v>0</v>
      </c>
      <c r="O25" s="394">
        <f t="shared" si="11"/>
        <v>-0.03</v>
      </c>
      <c r="P25" s="393">
        <v>0.03</v>
      </c>
      <c r="Q25" s="395">
        <v>0</v>
      </c>
      <c r="R25" s="396">
        <f t="shared" si="13"/>
        <v>-0.03</v>
      </c>
      <c r="S25" s="393">
        <v>0.03</v>
      </c>
      <c r="T25" s="395">
        <v>0</v>
      </c>
      <c r="U25" s="396">
        <f t="shared" si="14"/>
        <v>-0.03</v>
      </c>
      <c r="V25" s="393">
        <v>0.03</v>
      </c>
      <c r="W25" s="395">
        <v>0</v>
      </c>
      <c r="X25" s="396">
        <f t="shared" si="16"/>
        <v>-0.03</v>
      </c>
      <c r="Y25" s="393">
        <v>0.03</v>
      </c>
      <c r="Z25" s="395">
        <v>0</v>
      </c>
      <c r="AA25" s="396">
        <f t="shared" si="18"/>
        <v>-0.03</v>
      </c>
      <c r="AB25" s="393">
        <v>0.03</v>
      </c>
      <c r="AC25" s="395">
        <v>0</v>
      </c>
      <c r="AD25" s="396">
        <f t="shared" si="19"/>
        <v>-0.03</v>
      </c>
      <c r="AE25" s="393"/>
      <c r="AF25" s="395"/>
      <c r="AG25" s="396">
        <f t="shared" si="20"/>
        <v>0</v>
      </c>
      <c r="AH25" s="393"/>
      <c r="AI25" s="395"/>
      <c r="AJ25" s="396">
        <f t="shared" si="21"/>
        <v>0</v>
      </c>
      <c r="AK25" s="393"/>
      <c r="AL25" s="395"/>
      <c r="AM25" s="396">
        <f t="shared" si="22"/>
        <v>0</v>
      </c>
      <c r="AN25" s="393"/>
      <c r="AO25" s="395"/>
      <c r="AP25" s="396">
        <f t="shared" si="23"/>
        <v>0</v>
      </c>
      <c r="AQ25" s="393"/>
      <c r="AR25" s="395"/>
      <c r="AS25" s="396">
        <f t="shared" si="24"/>
        <v>0</v>
      </c>
      <c r="AT25" s="393"/>
      <c r="AU25" s="395"/>
      <c r="AV25" s="396">
        <f t="shared" si="25"/>
        <v>0</v>
      </c>
      <c r="AW25" s="393"/>
      <c r="AX25" s="395"/>
      <c r="AY25" s="396">
        <f t="shared" si="26"/>
        <v>0</v>
      </c>
      <c r="AZ25" s="355"/>
    </row>
    <row r="26" spans="1:52" s="398" customFormat="1" ht="14.25" customHeight="1">
      <c r="A26" s="796" t="s">
        <v>191</v>
      </c>
      <c r="B26" s="799" t="s">
        <v>190</v>
      </c>
      <c r="C26" s="346" t="s">
        <v>115</v>
      </c>
      <c r="D26" s="373">
        <f t="shared" si="4"/>
        <v>0</v>
      </c>
      <c r="E26" s="374">
        <f t="shared" si="5"/>
        <v>0</v>
      </c>
      <c r="F26" s="375">
        <f t="shared" si="6"/>
        <v>0</v>
      </c>
      <c r="G26" s="376"/>
      <c r="H26" s="377"/>
      <c r="I26" s="378">
        <f>H26-G26</f>
        <v>0</v>
      </c>
      <c r="J26" s="377"/>
      <c r="K26" s="377"/>
      <c r="L26" s="378">
        <f>K26-J26</f>
        <v>0</v>
      </c>
      <c r="M26" s="377"/>
      <c r="N26" s="377"/>
      <c r="O26" s="378">
        <f>N26-M26</f>
        <v>0</v>
      </c>
      <c r="P26" s="377"/>
      <c r="Q26" s="379"/>
      <c r="R26" s="380">
        <f>Q26-P26</f>
        <v>0</v>
      </c>
      <c r="S26" s="377"/>
      <c r="T26" s="379"/>
      <c r="U26" s="380">
        <f>T26-S26</f>
        <v>0</v>
      </c>
      <c r="V26" s="377"/>
      <c r="W26" s="379"/>
      <c r="X26" s="380">
        <f>W26-V26</f>
        <v>0</v>
      </c>
      <c r="Y26" s="377"/>
      <c r="Z26" s="379"/>
      <c r="AA26" s="380">
        <f>Z26-Y26</f>
        <v>0</v>
      </c>
      <c r="AB26" s="377"/>
      <c r="AC26" s="379"/>
      <c r="AD26" s="380">
        <f>AC26-AB26</f>
        <v>0</v>
      </c>
      <c r="AE26" s="377"/>
      <c r="AF26" s="379"/>
      <c r="AG26" s="380">
        <f>AF26-AE26</f>
        <v>0</v>
      </c>
      <c r="AH26" s="377"/>
      <c r="AI26" s="379"/>
      <c r="AJ26" s="380">
        <f>AI26-AH26</f>
        <v>0</v>
      </c>
      <c r="AK26" s="377"/>
      <c r="AL26" s="379"/>
      <c r="AM26" s="380">
        <f>AL26-AK26</f>
        <v>0</v>
      </c>
      <c r="AN26" s="377"/>
      <c r="AO26" s="379"/>
      <c r="AP26" s="380">
        <f>AO26-AN26</f>
        <v>0</v>
      </c>
      <c r="AQ26" s="377"/>
      <c r="AR26" s="379"/>
      <c r="AS26" s="380">
        <f>AR26-AQ26</f>
        <v>0</v>
      </c>
      <c r="AT26" s="377"/>
      <c r="AU26" s="379"/>
      <c r="AV26" s="380">
        <f>AU26-AT26</f>
        <v>0</v>
      </c>
      <c r="AW26" s="377"/>
      <c r="AX26" s="379"/>
      <c r="AY26" s="380">
        <f>AX26-AW26</f>
        <v>0</v>
      </c>
      <c r="AZ26" s="397"/>
    </row>
    <row r="27" spans="1:52" ht="16">
      <c r="A27" s="797"/>
      <c r="B27" s="800"/>
      <c r="C27" s="24" t="s">
        <v>116</v>
      </c>
      <c r="D27" s="381">
        <f t="shared" si="4"/>
        <v>0</v>
      </c>
      <c r="E27" s="382">
        <f t="shared" si="5"/>
        <v>0</v>
      </c>
      <c r="F27" s="383">
        <f t="shared" si="6"/>
        <v>0</v>
      </c>
      <c r="G27" s="384"/>
      <c r="H27" s="385"/>
      <c r="I27" s="386">
        <f t="shared" ref="I27:I44" si="29">H27-G27</f>
        <v>0</v>
      </c>
      <c r="J27" s="385"/>
      <c r="K27" s="385"/>
      <c r="L27" s="386">
        <f t="shared" ref="L27:L44" si="30">K27-J27</f>
        <v>0</v>
      </c>
      <c r="M27" s="385"/>
      <c r="N27" s="385"/>
      <c r="O27" s="386">
        <f t="shared" ref="O27:O44" si="31">N27-M27</f>
        <v>0</v>
      </c>
      <c r="P27" s="385"/>
      <c r="Q27" s="387"/>
      <c r="R27" s="388">
        <f t="shared" ref="R27:R44" si="32">Q27-P27</f>
        <v>0</v>
      </c>
      <c r="S27" s="385"/>
      <c r="T27" s="387"/>
      <c r="U27" s="388">
        <f t="shared" ref="U27:U44" si="33">T27-S27</f>
        <v>0</v>
      </c>
      <c r="V27" s="385"/>
      <c r="W27" s="387"/>
      <c r="X27" s="388">
        <f t="shared" ref="X27:X44" si="34">W27-V27</f>
        <v>0</v>
      </c>
      <c r="Y27" s="385"/>
      <c r="Z27" s="387"/>
      <c r="AA27" s="388">
        <f t="shared" ref="AA27:AA44" si="35">Z27-Y27</f>
        <v>0</v>
      </c>
      <c r="AB27" s="385"/>
      <c r="AC27" s="387"/>
      <c r="AD27" s="388">
        <f t="shared" ref="AD27:AD44" si="36">AC27-AB27</f>
        <v>0</v>
      </c>
      <c r="AE27" s="385"/>
      <c r="AF27" s="387"/>
      <c r="AG27" s="388">
        <f t="shared" ref="AG27:AG44" si="37">AF27-AE27</f>
        <v>0</v>
      </c>
      <c r="AH27" s="385"/>
      <c r="AI27" s="387"/>
      <c r="AJ27" s="388">
        <f t="shared" ref="AJ27:AJ44" si="38">AI27-AH27</f>
        <v>0</v>
      </c>
      <c r="AK27" s="385"/>
      <c r="AL27" s="387"/>
      <c r="AM27" s="388">
        <f t="shared" ref="AM27:AM44" si="39">AL27-AK27</f>
        <v>0</v>
      </c>
      <c r="AN27" s="385"/>
      <c r="AO27" s="387"/>
      <c r="AP27" s="388">
        <f t="shared" ref="AP27:AP44" si="40">AO27-AN27</f>
        <v>0</v>
      </c>
      <c r="AQ27" s="385"/>
      <c r="AR27" s="387"/>
      <c r="AS27" s="388">
        <f t="shared" ref="AS27:AS44" si="41">AR27-AQ27</f>
        <v>0</v>
      </c>
      <c r="AT27" s="385"/>
      <c r="AU27" s="387"/>
      <c r="AV27" s="388">
        <f t="shared" ref="AV27:AV44" si="42">AU27-AT27</f>
        <v>0</v>
      </c>
      <c r="AW27" s="385"/>
      <c r="AX27" s="387"/>
      <c r="AY27" s="388">
        <f t="shared" ref="AY27:AY54" si="43">AX27-AW27</f>
        <v>0</v>
      </c>
    </row>
    <row r="28" spans="1:52" ht="16">
      <c r="A28" s="797"/>
      <c r="B28" s="800"/>
      <c r="C28" s="24" t="s">
        <v>117</v>
      </c>
      <c r="D28" s="381">
        <f t="shared" si="4"/>
        <v>0</v>
      </c>
      <c r="E28" s="382">
        <f t="shared" si="5"/>
        <v>0</v>
      </c>
      <c r="F28" s="383">
        <f t="shared" si="6"/>
        <v>0</v>
      </c>
      <c r="G28" s="384"/>
      <c r="H28" s="385"/>
      <c r="I28" s="386">
        <f t="shared" si="29"/>
        <v>0</v>
      </c>
      <c r="J28" s="385"/>
      <c r="K28" s="385"/>
      <c r="L28" s="386">
        <f t="shared" si="30"/>
        <v>0</v>
      </c>
      <c r="M28" s="385"/>
      <c r="N28" s="385"/>
      <c r="O28" s="386">
        <f t="shared" si="31"/>
        <v>0</v>
      </c>
      <c r="P28" s="385"/>
      <c r="Q28" s="387"/>
      <c r="R28" s="388">
        <f t="shared" si="32"/>
        <v>0</v>
      </c>
      <c r="S28" s="385"/>
      <c r="T28" s="387"/>
      <c r="U28" s="388">
        <f t="shared" si="33"/>
        <v>0</v>
      </c>
      <c r="V28" s="385"/>
      <c r="W28" s="387"/>
      <c r="X28" s="388">
        <f t="shared" si="34"/>
        <v>0</v>
      </c>
      <c r="Y28" s="385"/>
      <c r="Z28" s="387"/>
      <c r="AA28" s="388">
        <f t="shared" si="35"/>
        <v>0</v>
      </c>
      <c r="AB28" s="385"/>
      <c r="AC28" s="387"/>
      <c r="AD28" s="388">
        <f t="shared" si="36"/>
        <v>0</v>
      </c>
      <c r="AE28" s="385"/>
      <c r="AF28" s="387"/>
      <c r="AG28" s="388">
        <f t="shared" si="37"/>
        <v>0</v>
      </c>
      <c r="AH28" s="385"/>
      <c r="AI28" s="387"/>
      <c r="AJ28" s="388">
        <f t="shared" si="38"/>
        <v>0</v>
      </c>
      <c r="AK28" s="385"/>
      <c r="AL28" s="387"/>
      <c r="AM28" s="388">
        <f t="shared" si="39"/>
        <v>0</v>
      </c>
      <c r="AN28" s="385"/>
      <c r="AO28" s="387"/>
      <c r="AP28" s="388">
        <f t="shared" si="40"/>
        <v>0</v>
      </c>
      <c r="AQ28" s="385"/>
      <c r="AR28" s="387"/>
      <c r="AS28" s="388">
        <f t="shared" si="41"/>
        <v>0</v>
      </c>
      <c r="AT28" s="385"/>
      <c r="AU28" s="387"/>
      <c r="AV28" s="388">
        <f t="shared" si="42"/>
        <v>0</v>
      </c>
      <c r="AW28" s="385"/>
      <c r="AX28" s="387"/>
      <c r="AY28" s="388">
        <f t="shared" si="43"/>
        <v>0</v>
      </c>
    </row>
    <row r="29" spans="1:52" ht="16">
      <c r="A29" s="797"/>
      <c r="B29" s="800"/>
      <c r="C29" s="24" t="s">
        <v>118</v>
      </c>
      <c r="D29" s="381">
        <f t="shared" si="4"/>
        <v>0</v>
      </c>
      <c r="E29" s="382">
        <f t="shared" si="5"/>
        <v>0</v>
      </c>
      <c r="F29" s="383">
        <f t="shared" si="6"/>
        <v>0</v>
      </c>
      <c r="G29" s="384"/>
      <c r="H29" s="385"/>
      <c r="I29" s="386">
        <f t="shared" si="29"/>
        <v>0</v>
      </c>
      <c r="J29" s="385"/>
      <c r="K29" s="385"/>
      <c r="L29" s="386">
        <f t="shared" si="30"/>
        <v>0</v>
      </c>
      <c r="M29" s="385"/>
      <c r="N29" s="385"/>
      <c r="O29" s="386">
        <f t="shared" si="31"/>
        <v>0</v>
      </c>
      <c r="P29" s="385"/>
      <c r="Q29" s="387"/>
      <c r="R29" s="388">
        <f t="shared" si="32"/>
        <v>0</v>
      </c>
      <c r="S29" s="385"/>
      <c r="T29" s="387"/>
      <c r="U29" s="388">
        <f t="shared" si="33"/>
        <v>0</v>
      </c>
      <c r="V29" s="385"/>
      <c r="W29" s="387"/>
      <c r="X29" s="388">
        <f t="shared" si="34"/>
        <v>0</v>
      </c>
      <c r="Y29" s="385"/>
      <c r="Z29" s="387"/>
      <c r="AA29" s="388">
        <f t="shared" si="35"/>
        <v>0</v>
      </c>
      <c r="AB29" s="385"/>
      <c r="AC29" s="387"/>
      <c r="AD29" s="388">
        <f t="shared" si="36"/>
        <v>0</v>
      </c>
      <c r="AE29" s="385"/>
      <c r="AF29" s="387"/>
      <c r="AG29" s="388">
        <f t="shared" si="37"/>
        <v>0</v>
      </c>
      <c r="AH29" s="385"/>
      <c r="AI29" s="387"/>
      <c r="AJ29" s="388">
        <f t="shared" si="38"/>
        <v>0</v>
      </c>
      <c r="AK29" s="385"/>
      <c r="AL29" s="387"/>
      <c r="AM29" s="388">
        <f t="shared" si="39"/>
        <v>0</v>
      </c>
      <c r="AN29" s="385"/>
      <c r="AO29" s="387"/>
      <c r="AP29" s="388">
        <f t="shared" si="40"/>
        <v>0</v>
      </c>
      <c r="AQ29" s="385"/>
      <c r="AR29" s="387"/>
      <c r="AS29" s="388">
        <f t="shared" si="41"/>
        <v>0</v>
      </c>
      <c r="AT29" s="385"/>
      <c r="AU29" s="387"/>
      <c r="AV29" s="388">
        <f t="shared" si="42"/>
        <v>0</v>
      </c>
      <c r="AW29" s="385"/>
      <c r="AX29" s="387"/>
      <c r="AY29" s="388">
        <f t="shared" si="43"/>
        <v>0</v>
      </c>
    </row>
    <row r="30" spans="1:52" ht="16">
      <c r="A30" s="797"/>
      <c r="B30" s="800"/>
      <c r="C30" s="24" t="s">
        <v>119</v>
      </c>
      <c r="D30" s="381">
        <f t="shared" si="4"/>
        <v>0</v>
      </c>
      <c r="E30" s="382">
        <f t="shared" si="5"/>
        <v>0</v>
      </c>
      <c r="F30" s="383">
        <f t="shared" si="6"/>
        <v>0</v>
      </c>
      <c r="G30" s="384"/>
      <c r="H30" s="385"/>
      <c r="I30" s="386">
        <f t="shared" si="29"/>
        <v>0</v>
      </c>
      <c r="J30" s="385"/>
      <c r="K30" s="385"/>
      <c r="L30" s="386">
        <f t="shared" si="30"/>
        <v>0</v>
      </c>
      <c r="M30" s="385"/>
      <c r="N30" s="385"/>
      <c r="O30" s="386">
        <f t="shared" si="31"/>
        <v>0</v>
      </c>
      <c r="P30" s="385"/>
      <c r="Q30" s="387"/>
      <c r="R30" s="388">
        <f t="shared" si="32"/>
        <v>0</v>
      </c>
      <c r="S30" s="385"/>
      <c r="T30" s="387"/>
      <c r="U30" s="388">
        <f t="shared" si="33"/>
        <v>0</v>
      </c>
      <c r="V30" s="385"/>
      <c r="W30" s="387"/>
      <c r="X30" s="388">
        <f t="shared" si="34"/>
        <v>0</v>
      </c>
      <c r="Y30" s="385"/>
      <c r="Z30" s="387"/>
      <c r="AA30" s="388">
        <f t="shared" si="35"/>
        <v>0</v>
      </c>
      <c r="AB30" s="385"/>
      <c r="AC30" s="387"/>
      <c r="AD30" s="388">
        <f t="shared" si="36"/>
        <v>0</v>
      </c>
      <c r="AE30" s="385"/>
      <c r="AF30" s="387"/>
      <c r="AG30" s="388">
        <f t="shared" si="37"/>
        <v>0</v>
      </c>
      <c r="AH30" s="385"/>
      <c r="AI30" s="387"/>
      <c r="AJ30" s="388">
        <f t="shared" si="38"/>
        <v>0</v>
      </c>
      <c r="AK30" s="385"/>
      <c r="AL30" s="387"/>
      <c r="AM30" s="388">
        <f t="shared" si="39"/>
        <v>0</v>
      </c>
      <c r="AN30" s="385"/>
      <c r="AO30" s="387"/>
      <c r="AP30" s="388">
        <f t="shared" si="40"/>
        <v>0</v>
      </c>
      <c r="AQ30" s="385"/>
      <c r="AR30" s="387"/>
      <c r="AS30" s="388">
        <f t="shared" si="41"/>
        <v>0</v>
      </c>
      <c r="AT30" s="385"/>
      <c r="AU30" s="387"/>
      <c r="AV30" s="388">
        <f t="shared" si="42"/>
        <v>0</v>
      </c>
      <c r="AW30" s="385"/>
      <c r="AX30" s="387"/>
      <c r="AY30" s="388">
        <f t="shared" si="43"/>
        <v>0</v>
      </c>
    </row>
    <row r="31" spans="1:52" ht="16">
      <c r="A31" s="797"/>
      <c r="B31" s="800"/>
      <c r="C31" s="24" t="s">
        <v>120</v>
      </c>
      <c r="D31" s="381">
        <f t="shared" si="4"/>
        <v>0</v>
      </c>
      <c r="E31" s="382">
        <f t="shared" si="5"/>
        <v>0</v>
      </c>
      <c r="F31" s="383">
        <f t="shared" si="6"/>
        <v>0</v>
      </c>
      <c r="G31" s="384"/>
      <c r="H31" s="385"/>
      <c r="I31" s="386">
        <f t="shared" si="29"/>
        <v>0</v>
      </c>
      <c r="J31" s="385"/>
      <c r="K31" s="385"/>
      <c r="L31" s="386">
        <f t="shared" si="30"/>
        <v>0</v>
      </c>
      <c r="M31" s="385"/>
      <c r="N31" s="385"/>
      <c r="O31" s="386">
        <f t="shared" si="31"/>
        <v>0</v>
      </c>
      <c r="P31" s="385"/>
      <c r="Q31" s="387"/>
      <c r="R31" s="388">
        <f t="shared" si="32"/>
        <v>0</v>
      </c>
      <c r="S31" s="385"/>
      <c r="T31" s="387"/>
      <c r="U31" s="388">
        <f t="shared" si="33"/>
        <v>0</v>
      </c>
      <c r="V31" s="385"/>
      <c r="W31" s="387"/>
      <c r="X31" s="388">
        <f t="shared" si="34"/>
        <v>0</v>
      </c>
      <c r="Y31" s="385"/>
      <c r="Z31" s="387"/>
      <c r="AA31" s="388">
        <f t="shared" si="35"/>
        <v>0</v>
      </c>
      <c r="AB31" s="385"/>
      <c r="AC31" s="387"/>
      <c r="AD31" s="388">
        <f t="shared" si="36"/>
        <v>0</v>
      </c>
      <c r="AE31" s="385"/>
      <c r="AF31" s="387"/>
      <c r="AG31" s="388">
        <f t="shared" si="37"/>
        <v>0</v>
      </c>
      <c r="AH31" s="385"/>
      <c r="AI31" s="387"/>
      <c r="AJ31" s="388">
        <f t="shared" si="38"/>
        <v>0</v>
      </c>
      <c r="AK31" s="385"/>
      <c r="AL31" s="387"/>
      <c r="AM31" s="388">
        <f t="shared" si="39"/>
        <v>0</v>
      </c>
      <c r="AN31" s="385"/>
      <c r="AO31" s="387"/>
      <c r="AP31" s="388">
        <f t="shared" si="40"/>
        <v>0</v>
      </c>
      <c r="AQ31" s="385"/>
      <c r="AR31" s="387"/>
      <c r="AS31" s="388">
        <f t="shared" si="41"/>
        <v>0</v>
      </c>
      <c r="AT31" s="385"/>
      <c r="AU31" s="387"/>
      <c r="AV31" s="388">
        <f t="shared" si="42"/>
        <v>0</v>
      </c>
      <c r="AW31" s="385"/>
      <c r="AX31" s="387"/>
      <c r="AY31" s="388">
        <f t="shared" si="43"/>
        <v>0</v>
      </c>
    </row>
    <row r="32" spans="1:52" ht="16">
      <c r="A32" s="797"/>
      <c r="B32" s="800"/>
      <c r="C32" s="24" t="s">
        <v>121</v>
      </c>
      <c r="D32" s="381">
        <f t="shared" si="4"/>
        <v>0</v>
      </c>
      <c r="E32" s="382">
        <f t="shared" si="5"/>
        <v>0</v>
      </c>
      <c r="F32" s="383">
        <f t="shared" si="6"/>
        <v>0</v>
      </c>
      <c r="G32" s="384"/>
      <c r="H32" s="385"/>
      <c r="I32" s="386">
        <f t="shared" si="29"/>
        <v>0</v>
      </c>
      <c r="J32" s="385"/>
      <c r="K32" s="385"/>
      <c r="L32" s="386">
        <f t="shared" si="30"/>
        <v>0</v>
      </c>
      <c r="M32" s="385"/>
      <c r="N32" s="385"/>
      <c r="O32" s="386">
        <f t="shared" si="31"/>
        <v>0</v>
      </c>
      <c r="P32" s="385"/>
      <c r="Q32" s="387"/>
      <c r="R32" s="388">
        <f t="shared" si="32"/>
        <v>0</v>
      </c>
      <c r="S32" s="385"/>
      <c r="T32" s="387"/>
      <c r="U32" s="388">
        <f t="shared" si="33"/>
        <v>0</v>
      </c>
      <c r="V32" s="385"/>
      <c r="W32" s="387"/>
      <c r="X32" s="388">
        <f t="shared" si="34"/>
        <v>0</v>
      </c>
      <c r="Y32" s="385"/>
      <c r="Z32" s="387"/>
      <c r="AA32" s="388">
        <f t="shared" si="35"/>
        <v>0</v>
      </c>
      <c r="AB32" s="385"/>
      <c r="AC32" s="387"/>
      <c r="AD32" s="388">
        <f t="shared" si="36"/>
        <v>0</v>
      </c>
      <c r="AE32" s="385"/>
      <c r="AF32" s="387"/>
      <c r="AG32" s="388">
        <f t="shared" si="37"/>
        <v>0</v>
      </c>
      <c r="AH32" s="385"/>
      <c r="AI32" s="387"/>
      <c r="AJ32" s="388">
        <f t="shared" si="38"/>
        <v>0</v>
      </c>
      <c r="AK32" s="385"/>
      <c r="AL32" s="387"/>
      <c r="AM32" s="388">
        <f t="shared" si="39"/>
        <v>0</v>
      </c>
      <c r="AN32" s="385"/>
      <c r="AO32" s="387"/>
      <c r="AP32" s="388">
        <f t="shared" si="40"/>
        <v>0</v>
      </c>
      <c r="AQ32" s="385"/>
      <c r="AR32" s="387"/>
      <c r="AS32" s="388">
        <f t="shared" si="41"/>
        <v>0</v>
      </c>
      <c r="AT32" s="385"/>
      <c r="AU32" s="387"/>
      <c r="AV32" s="388">
        <f t="shared" si="42"/>
        <v>0</v>
      </c>
      <c r="AW32" s="385"/>
      <c r="AX32" s="387"/>
      <c r="AY32" s="388">
        <f t="shared" si="43"/>
        <v>0</v>
      </c>
    </row>
    <row r="33" spans="1:52" ht="16">
      <c r="A33" s="797"/>
      <c r="B33" s="800"/>
      <c r="C33" s="24" t="s">
        <v>122</v>
      </c>
      <c r="D33" s="381">
        <f t="shared" si="4"/>
        <v>0</v>
      </c>
      <c r="E33" s="382">
        <f t="shared" si="5"/>
        <v>0</v>
      </c>
      <c r="F33" s="383">
        <f t="shared" si="6"/>
        <v>0</v>
      </c>
      <c r="G33" s="384"/>
      <c r="H33" s="385"/>
      <c r="I33" s="386">
        <f t="shared" si="29"/>
        <v>0</v>
      </c>
      <c r="J33" s="385"/>
      <c r="K33" s="385"/>
      <c r="L33" s="386">
        <f t="shared" si="30"/>
        <v>0</v>
      </c>
      <c r="M33" s="385"/>
      <c r="N33" s="385"/>
      <c r="O33" s="386">
        <f t="shared" si="31"/>
        <v>0</v>
      </c>
      <c r="P33" s="385"/>
      <c r="Q33" s="387"/>
      <c r="R33" s="388">
        <f t="shared" si="32"/>
        <v>0</v>
      </c>
      <c r="S33" s="385"/>
      <c r="T33" s="387"/>
      <c r="U33" s="388">
        <f t="shared" si="33"/>
        <v>0</v>
      </c>
      <c r="V33" s="385"/>
      <c r="W33" s="387"/>
      <c r="X33" s="388">
        <f t="shared" si="34"/>
        <v>0</v>
      </c>
      <c r="Y33" s="385"/>
      <c r="Z33" s="387"/>
      <c r="AA33" s="388">
        <f t="shared" si="35"/>
        <v>0</v>
      </c>
      <c r="AB33" s="385"/>
      <c r="AC33" s="387"/>
      <c r="AD33" s="388">
        <f t="shared" si="36"/>
        <v>0</v>
      </c>
      <c r="AE33" s="385"/>
      <c r="AF33" s="387"/>
      <c r="AG33" s="388">
        <f t="shared" si="37"/>
        <v>0</v>
      </c>
      <c r="AH33" s="385"/>
      <c r="AI33" s="387"/>
      <c r="AJ33" s="388">
        <f t="shared" si="38"/>
        <v>0</v>
      </c>
      <c r="AK33" s="385"/>
      <c r="AL33" s="387"/>
      <c r="AM33" s="388">
        <f t="shared" si="39"/>
        <v>0</v>
      </c>
      <c r="AN33" s="385"/>
      <c r="AO33" s="387"/>
      <c r="AP33" s="388">
        <f t="shared" si="40"/>
        <v>0</v>
      </c>
      <c r="AQ33" s="385"/>
      <c r="AR33" s="387"/>
      <c r="AS33" s="388">
        <f t="shared" si="41"/>
        <v>0</v>
      </c>
      <c r="AT33" s="385"/>
      <c r="AU33" s="387"/>
      <c r="AV33" s="388">
        <f t="shared" si="42"/>
        <v>0</v>
      </c>
      <c r="AW33" s="385"/>
      <c r="AX33" s="387"/>
      <c r="AY33" s="388">
        <f t="shared" si="43"/>
        <v>0</v>
      </c>
    </row>
    <row r="34" spans="1:52" ht="16">
      <c r="A34" s="797"/>
      <c r="B34" s="800"/>
      <c r="C34" s="24" t="s">
        <v>123</v>
      </c>
      <c r="D34" s="381">
        <f t="shared" si="4"/>
        <v>0</v>
      </c>
      <c r="E34" s="382">
        <f t="shared" si="5"/>
        <v>0</v>
      </c>
      <c r="F34" s="383">
        <f t="shared" si="6"/>
        <v>0</v>
      </c>
      <c r="G34" s="384"/>
      <c r="H34" s="385"/>
      <c r="I34" s="386">
        <f t="shared" si="29"/>
        <v>0</v>
      </c>
      <c r="J34" s="385"/>
      <c r="K34" s="385"/>
      <c r="L34" s="386">
        <f t="shared" si="30"/>
        <v>0</v>
      </c>
      <c r="M34" s="385"/>
      <c r="N34" s="385"/>
      <c r="O34" s="386">
        <f t="shared" si="31"/>
        <v>0</v>
      </c>
      <c r="P34" s="385"/>
      <c r="Q34" s="387"/>
      <c r="R34" s="388">
        <f t="shared" si="32"/>
        <v>0</v>
      </c>
      <c r="S34" s="385"/>
      <c r="T34" s="387"/>
      <c r="U34" s="388">
        <f t="shared" si="33"/>
        <v>0</v>
      </c>
      <c r="V34" s="385"/>
      <c r="W34" s="387"/>
      <c r="X34" s="388">
        <f t="shared" si="34"/>
        <v>0</v>
      </c>
      <c r="Y34" s="385"/>
      <c r="Z34" s="387"/>
      <c r="AA34" s="388">
        <f t="shared" si="35"/>
        <v>0</v>
      </c>
      <c r="AB34" s="385"/>
      <c r="AC34" s="387"/>
      <c r="AD34" s="388">
        <f t="shared" si="36"/>
        <v>0</v>
      </c>
      <c r="AE34" s="385"/>
      <c r="AF34" s="387"/>
      <c r="AG34" s="388">
        <f t="shared" si="37"/>
        <v>0</v>
      </c>
      <c r="AH34" s="385"/>
      <c r="AI34" s="387"/>
      <c r="AJ34" s="388">
        <f t="shared" si="38"/>
        <v>0</v>
      </c>
      <c r="AK34" s="385"/>
      <c r="AL34" s="387"/>
      <c r="AM34" s="388">
        <f t="shared" si="39"/>
        <v>0</v>
      </c>
      <c r="AN34" s="385"/>
      <c r="AO34" s="387"/>
      <c r="AP34" s="388">
        <f t="shared" si="40"/>
        <v>0</v>
      </c>
      <c r="AQ34" s="385"/>
      <c r="AR34" s="387"/>
      <c r="AS34" s="388">
        <f t="shared" si="41"/>
        <v>0</v>
      </c>
      <c r="AT34" s="385"/>
      <c r="AU34" s="387"/>
      <c r="AV34" s="388">
        <f t="shared" si="42"/>
        <v>0</v>
      </c>
      <c r="AW34" s="385"/>
      <c r="AX34" s="387"/>
      <c r="AY34" s="388">
        <f t="shared" si="43"/>
        <v>0</v>
      </c>
    </row>
    <row r="35" spans="1:52" ht="17" thickBot="1">
      <c r="A35" s="798"/>
      <c r="B35" s="801"/>
      <c r="C35" s="364" t="s">
        <v>124</v>
      </c>
      <c r="D35" s="389">
        <f t="shared" si="4"/>
        <v>0</v>
      </c>
      <c r="E35" s="390">
        <f t="shared" si="5"/>
        <v>0</v>
      </c>
      <c r="F35" s="391">
        <f t="shared" si="6"/>
        <v>0</v>
      </c>
      <c r="G35" s="392"/>
      <c r="H35" s="393"/>
      <c r="I35" s="394">
        <f t="shared" si="29"/>
        <v>0</v>
      </c>
      <c r="J35" s="393"/>
      <c r="K35" s="393"/>
      <c r="L35" s="394">
        <f t="shared" si="30"/>
        <v>0</v>
      </c>
      <c r="M35" s="393"/>
      <c r="N35" s="393"/>
      <c r="O35" s="394">
        <f t="shared" si="31"/>
        <v>0</v>
      </c>
      <c r="P35" s="393"/>
      <c r="Q35" s="395"/>
      <c r="R35" s="396">
        <f t="shared" si="32"/>
        <v>0</v>
      </c>
      <c r="S35" s="393"/>
      <c r="T35" s="395"/>
      <c r="U35" s="396">
        <f t="shared" si="33"/>
        <v>0</v>
      </c>
      <c r="V35" s="393"/>
      <c r="W35" s="395"/>
      <c r="X35" s="396">
        <f t="shared" si="34"/>
        <v>0</v>
      </c>
      <c r="Y35" s="393"/>
      <c r="Z35" s="395"/>
      <c r="AA35" s="396">
        <f t="shared" si="35"/>
        <v>0</v>
      </c>
      <c r="AB35" s="393"/>
      <c r="AC35" s="395"/>
      <c r="AD35" s="396">
        <f t="shared" si="36"/>
        <v>0</v>
      </c>
      <c r="AE35" s="393"/>
      <c r="AF35" s="395"/>
      <c r="AG35" s="396">
        <f t="shared" si="37"/>
        <v>0</v>
      </c>
      <c r="AH35" s="393"/>
      <c r="AI35" s="395"/>
      <c r="AJ35" s="396">
        <f t="shared" si="38"/>
        <v>0</v>
      </c>
      <c r="AK35" s="393"/>
      <c r="AL35" s="395"/>
      <c r="AM35" s="396">
        <f t="shared" si="39"/>
        <v>0</v>
      </c>
      <c r="AN35" s="393"/>
      <c r="AO35" s="395"/>
      <c r="AP35" s="396">
        <f t="shared" si="40"/>
        <v>0</v>
      </c>
      <c r="AQ35" s="393"/>
      <c r="AR35" s="395"/>
      <c r="AS35" s="396">
        <f t="shared" si="41"/>
        <v>0</v>
      </c>
      <c r="AT35" s="393"/>
      <c r="AU35" s="395"/>
      <c r="AV35" s="396">
        <f t="shared" si="42"/>
        <v>0</v>
      </c>
      <c r="AW35" s="393"/>
      <c r="AX35" s="395"/>
      <c r="AY35" s="396">
        <f t="shared" si="43"/>
        <v>0</v>
      </c>
    </row>
    <row r="36" spans="1:52" s="398" customFormat="1" ht="14.5" customHeight="1">
      <c r="A36" s="796" t="s">
        <v>192</v>
      </c>
      <c r="B36" s="799" t="s">
        <v>193</v>
      </c>
      <c r="C36" s="346" t="s">
        <v>115</v>
      </c>
      <c r="D36" s="373">
        <f t="shared" si="4"/>
        <v>40.158333333333331</v>
      </c>
      <c r="E36" s="374">
        <f t="shared" si="5"/>
        <v>40.158333333333331</v>
      </c>
      <c r="F36" s="375">
        <f t="shared" si="6"/>
        <v>0</v>
      </c>
      <c r="G36" s="376">
        <f>45/60</f>
        <v>0.75</v>
      </c>
      <c r="H36" s="377">
        <f>45/60</f>
        <v>0.75</v>
      </c>
      <c r="I36" s="378">
        <f t="shared" si="29"/>
        <v>0</v>
      </c>
      <c r="J36" s="376">
        <v>1.0489999999999999</v>
      </c>
      <c r="K36" s="377">
        <v>1.0489999999999999</v>
      </c>
      <c r="L36" s="378">
        <f t="shared" si="30"/>
        <v>0</v>
      </c>
      <c r="M36" s="377">
        <f>27/60</f>
        <v>0.45</v>
      </c>
      <c r="N36" s="377">
        <f>27/60</f>
        <v>0.45</v>
      </c>
      <c r="O36" s="378">
        <f t="shared" si="31"/>
        <v>0</v>
      </c>
      <c r="P36" s="376">
        <v>2.7370000000000001</v>
      </c>
      <c r="Q36" s="377">
        <v>2.7370000000000001</v>
      </c>
      <c r="R36" s="380">
        <f t="shared" si="32"/>
        <v>0</v>
      </c>
      <c r="S36" s="377">
        <f>26/60</f>
        <v>0.43333333333333335</v>
      </c>
      <c r="T36" s="377">
        <f>26/60</f>
        <v>0.43333333333333335</v>
      </c>
      <c r="U36" s="380">
        <f t="shared" si="33"/>
        <v>0</v>
      </c>
      <c r="V36" s="376">
        <v>5.218</v>
      </c>
      <c r="W36" s="377">
        <v>5.218</v>
      </c>
      <c r="X36" s="380">
        <f t="shared" si="34"/>
        <v>0</v>
      </c>
      <c r="Y36" s="376">
        <v>4.4409999999999998</v>
      </c>
      <c r="Z36" s="377">
        <v>4.4409999999999998</v>
      </c>
      <c r="AA36" s="380">
        <f t="shared" si="35"/>
        <v>0</v>
      </c>
      <c r="AB36" s="376">
        <v>1.8620000000000001</v>
      </c>
      <c r="AC36" s="377">
        <v>1.8620000000000001</v>
      </c>
      <c r="AD36" s="380">
        <f t="shared" si="36"/>
        <v>0</v>
      </c>
      <c r="AE36" s="376">
        <v>21.382999999999999</v>
      </c>
      <c r="AF36" s="377">
        <v>21.382999999999999</v>
      </c>
      <c r="AG36" s="380">
        <f t="shared" si="37"/>
        <v>0</v>
      </c>
      <c r="AH36" s="376">
        <v>0.73499999999999999</v>
      </c>
      <c r="AI36" s="377">
        <v>0.73499999999999999</v>
      </c>
      <c r="AJ36" s="380">
        <f t="shared" si="38"/>
        <v>0</v>
      </c>
      <c r="AK36" s="376">
        <v>0.26500000000000001</v>
      </c>
      <c r="AL36" s="377">
        <v>0.26500000000000001</v>
      </c>
      <c r="AM36" s="380">
        <f t="shared" si="39"/>
        <v>0</v>
      </c>
      <c r="AN36" s="376">
        <v>8.5999999999999993E-2</v>
      </c>
      <c r="AO36" s="377">
        <v>8.5999999999999993E-2</v>
      </c>
      <c r="AP36" s="380">
        <f t="shared" si="40"/>
        <v>0</v>
      </c>
      <c r="AQ36" s="376">
        <v>0.27500000000000002</v>
      </c>
      <c r="AR36" s="377">
        <v>0.27500000000000002</v>
      </c>
      <c r="AS36" s="380">
        <f t="shared" si="41"/>
        <v>0</v>
      </c>
      <c r="AT36" s="376">
        <v>0.40300000000000002</v>
      </c>
      <c r="AU36" s="377">
        <v>0.40300000000000002</v>
      </c>
      <c r="AV36" s="380">
        <f t="shared" si="42"/>
        <v>0</v>
      </c>
      <c r="AW36" s="376">
        <v>7.0999999999999994E-2</v>
      </c>
      <c r="AX36" s="377">
        <v>7.0999999999999994E-2</v>
      </c>
      <c r="AY36" s="380">
        <f t="shared" si="43"/>
        <v>0</v>
      </c>
      <c r="AZ36" s="397">
        <f>'Analyza citlivosti - AgendovéIS'!N7</f>
        <v>0</v>
      </c>
    </row>
    <row r="37" spans="1:52" ht="16">
      <c r="A37" s="797"/>
      <c r="B37" s="800"/>
      <c r="C37" s="24" t="s">
        <v>116</v>
      </c>
      <c r="D37" s="381">
        <f t="shared" si="4"/>
        <v>40.158333333333331</v>
      </c>
      <c r="E37" s="382">
        <f t="shared" si="5"/>
        <v>40.158333333333331</v>
      </c>
      <c r="F37" s="383">
        <f t="shared" si="6"/>
        <v>0</v>
      </c>
      <c r="G37" s="384">
        <f>45/60</f>
        <v>0.75</v>
      </c>
      <c r="H37" s="384">
        <f>45/60</f>
        <v>0.75</v>
      </c>
      <c r="I37" s="386">
        <f t="shared" si="29"/>
        <v>0</v>
      </c>
      <c r="J37" s="384">
        <v>1.0489999999999999</v>
      </c>
      <c r="K37" s="385">
        <v>1.0489999999999999</v>
      </c>
      <c r="L37" s="386">
        <f t="shared" si="30"/>
        <v>0</v>
      </c>
      <c r="M37" s="384">
        <f t="shared" ref="M37:N45" si="44">27/60</f>
        <v>0.45</v>
      </c>
      <c r="N37" s="385">
        <f t="shared" si="44"/>
        <v>0.45</v>
      </c>
      <c r="O37" s="386">
        <f t="shared" si="31"/>
        <v>0</v>
      </c>
      <c r="P37" s="384">
        <v>2.7370000000000001</v>
      </c>
      <c r="Q37" s="385">
        <v>2.7370000000000001</v>
      </c>
      <c r="R37" s="388">
        <f t="shared" si="32"/>
        <v>0</v>
      </c>
      <c r="S37" s="384">
        <f>26/60</f>
        <v>0.43333333333333335</v>
      </c>
      <c r="T37" s="385">
        <f>26/60</f>
        <v>0.43333333333333335</v>
      </c>
      <c r="U37" s="388">
        <f t="shared" si="33"/>
        <v>0</v>
      </c>
      <c r="V37" s="384">
        <v>5.218</v>
      </c>
      <c r="W37" s="385">
        <v>5.218</v>
      </c>
      <c r="X37" s="388">
        <f t="shared" si="34"/>
        <v>0</v>
      </c>
      <c r="Y37" s="384">
        <v>4.4409999999999998</v>
      </c>
      <c r="Z37" s="385">
        <v>4.4409999999999998</v>
      </c>
      <c r="AA37" s="388">
        <f t="shared" si="35"/>
        <v>0</v>
      </c>
      <c r="AB37" s="384">
        <v>1.8620000000000001</v>
      </c>
      <c r="AC37" s="385">
        <v>1.8620000000000001</v>
      </c>
      <c r="AD37" s="388">
        <f t="shared" si="36"/>
        <v>0</v>
      </c>
      <c r="AE37" s="384">
        <v>21.382999999999999</v>
      </c>
      <c r="AF37" s="385">
        <v>21.382999999999999</v>
      </c>
      <c r="AG37" s="388">
        <f t="shared" si="37"/>
        <v>0</v>
      </c>
      <c r="AH37" s="384">
        <v>0.73499999999999999</v>
      </c>
      <c r="AI37" s="385">
        <v>0.73499999999999999</v>
      </c>
      <c r="AJ37" s="388">
        <f t="shared" si="38"/>
        <v>0</v>
      </c>
      <c r="AK37" s="384">
        <v>0.26500000000000001</v>
      </c>
      <c r="AL37" s="385">
        <v>0.26500000000000001</v>
      </c>
      <c r="AM37" s="388">
        <f t="shared" si="39"/>
        <v>0</v>
      </c>
      <c r="AN37" s="384">
        <v>8.5999999999999993E-2</v>
      </c>
      <c r="AO37" s="385">
        <v>8.5999999999999993E-2</v>
      </c>
      <c r="AP37" s="388">
        <f t="shared" si="40"/>
        <v>0</v>
      </c>
      <c r="AQ37" s="384">
        <v>0.27500000000000002</v>
      </c>
      <c r="AR37" s="385">
        <v>0.27500000000000002</v>
      </c>
      <c r="AS37" s="388">
        <f t="shared" si="41"/>
        <v>0</v>
      </c>
      <c r="AT37" s="384">
        <v>0.40300000000000002</v>
      </c>
      <c r="AU37" s="385">
        <v>0.40300000000000002</v>
      </c>
      <c r="AV37" s="388">
        <f t="shared" si="42"/>
        <v>0</v>
      </c>
      <c r="AW37" s="384">
        <v>7.0999999999999994E-2</v>
      </c>
      <c r="AX37" s="385">
        <v>7.0999999999999994E-2</v>
      </c>
      <c r="AY37" s="388">
        <f t="shared" si="43"/>
        <v>0</v>
      </c>
    </row>
    <row r="38" spans="1:52" ht="16">
      <c r="A38" s="797"/>
      <c r="B38" s="800"/>
      <c r="C38" s="24" t="s">
        <v>117</v>
      </c>
      <c r="D38" s="381">
        <f t="shared" si="4"/>
        <v>40.158333333333331</v>
      </c>
      <c r="E38" s="382">
        <f t="shared" si="5"/>
        <v>20.144000000000002</v>
      </c>
      <c r="F38" s="383">
        <f t="shared" si="6"/>
        <v>-20.01433333333333</v>
      </c>
      <c r="G38" s="384">
        <f t="shared" ref="G38:G45" si="45">45/60</f>
        <v>0.75</v>
      </c>
      <c r="H38" s="385">
        <v>0</v>
      </c>
      <c r="I38" s="386">
        <f t="shared" si="29"/>
        <v>-0.75</v>
      </c>
      <c r="J38" s="384">
        <v>1.0489999999999999</v>
      </c>
      <c r="K38" s="385">
        <v>0</v>
      </c>
      <c r="L38" s="386">
        <f t="shared" si="30"/>
        <v>-1.0489999999999999</v>
      </c>
      <c r="M38" s="384">
        <f t="shared" si="44"/>
        <v>0.45</v>
      </c>
      <c r="N38" s="385">
        <v>0</v>
      </c>
      <c r="O38" s="386">
        <f t="shared" si="31"/>
        <v>-0.45</v>
      </c>
      <c r="P38" s="384">
        <v>2.7370000000000001</v>
      </c>
      <c r="Q38" s="385">
        <v>0</v>
      </c>
      <c r="R38" s="388">
        <f t="shared" si="32"/>
        <v>-2.7370000000000001</v>
      </c>
      <c r="S38" s="384">
        <f t="shared" ref="S38:S44" si="46">26/60</f>
        <v>0.43333333333333335</v>
      </c>
      <c r="T38" s="385">
        <v>0</v>
      </c>
      <c r="U38" s="388">
        <f t="shared" si="33"/>
        <v>-0.43333333333333335</v>
      </c>
      <c r="V38" s="384">
        <v>5.218</v>
      </c>
      <c r="W38" s="385">
        <v>1.244</v>
      </c>
      <c r="X38" s="388">
        <f t="shared" si="34"/>
        <v>-3.9740000000000002</v>
      </c>
      <c r="Y38" s="384">
        <v>4.4409999999999998</v>
      </c>
      <c r="Z38" s="385">
        <v>3.6480000000000001</v>
      </c>
      <c r="AA38" s="388">
        <f t="shared" si="35"/>
        <v>-0.79299999999999971</v>
      </c>
      <c r="AB38" s="384">
        <v>1.8620000000000001</v>
      </c>
      <c r="AC38" s="385">
        <v>0.68899999999999995</v>
      </c>
      <c r="AD38" s="388">
        <f t="shared" si="36"/>
        <v>-1.173</v>
      </c>
      <c r="AE38" s="384">
        <v>21.382999999999999</v>
      </c>
      <c r="AF38" s="385">
        <v>14.563000000000001</v>
      </c>
      <c r="AG38" s="388">
        <f t="shared" si="37"/>
        <v>-6.8199999999999985</v>
      </c>
      <c r="AH38" s="384">
        <v>0.73499999999999999</v>
      </c>
      <c r="AI38" s="385">
        <v>0</v>
      </c>
      <c r="AJ38" s="388">
        <f t="shared" si="38"/>
        <v>-0.73499999999999999</v>
      </c>
      <c r="AK38" s="384">
        <v>0.26500000000000001</v>
      </c>
      <c r="AL38" s="385">
        <v>0</v>
      </c>
      <c r="AM38" s="388">
        <f t="shared" si="39"/>
        <v>-0.26500000000000001</v>
      </c>
      <c r="AN38" s="384">
        <v>8.5999999999999993E-2</v>
      </c>
      <c r="AO38" s="385">
        <v>0</v>
      </c>
      <c r="AP38" s="388">
        <f t="shared" si="40"/>
        <v>-8.5999999999999993E-2</v>
      </c>
      <c r="AQ38" s="384">
        <v>0.27500000000000002</v>
      </c>
      <c r="AR38" s="385">
        <v>0</v>
      </c>
      <c r="AS38" s="388">
        <f t="shared" si="41"/>
        <v>-0.27500000000000002</v>
      </c>
      <c r="AT38" s="384">
        <v>0.40300000000000002</v>
      </c>
      <c r="AU38" s="385">
        <v>0</v>
      </c>
      <c r="AV38" s="388">
        <f t="shared" si="42"/>
        <v>-0.40300000000000002</v>
      </c>
      <c r="AW38" s="384">
        <v>7.0999999999999994E-2</v>
      </c>
      <c r="AX38" s="385">
        <v>0</v>
      </c>
      <c r="AY38" s="388">
        <f t="shared" si="43"/>
        <v>-7.0999999999999994E-2</v>
      </c>
    </row>
    <row r="39" spans="1:52" ht="16">
      <c r="A39" s="797"/>
      <c r="B39" s="800"/>
      <c r="C39" s="24" t="s">
        <v>118</v>
      </c>
      <c r="D39" s="381">
        <f t="shared" si="4"/>
        <v>40.158333333333331</v>
      </c>
      <c r="E39" s="382">
        <f t="shared" si="5"/>
        <v>20.144000000000002</v>
      </c>
      <c r="F39" s="383">
        <f t="shared" si="6"/>
        <v>-20.01433333333333</v>
      </c>
      <c r="G39" s="384">
        <f t="shared" si="45"/>
        <v>0.75</v>
      </c>
      <c r="H39" s="385">
        <v>0</v>
      </c>
      <c r="I39" s="386">
        <f t="shared" si="29"/>
        <v>-0.75</v>
      </c>
      <c r="J39" s="384">
        <v>1.0489999999999999</v>
      </c>
      <c r="K39" s="385">
        <v>0</v>
      </c>
      <c r="L39" s="386">
        <f t="shared" si="30"/>
        <v>-1.0489999999999999</v>
      </c>
      <c r="M39" s="384">
        <f t="shared" si="44"/>
        <v>0.45</v>
      </c>
      <c r="N39" s="385">
        <v>0</v>
      </c>
      <c r="O39" s="386">
        <f t="shared" si="31"/>
        <v>-0.45</v>
      </c>
      <c r="P39" s="384">
        <v>2.7370000000000001</v>
      </c>
      <c r="Q39" s="385">
        <v>0</v>
      </c>
      <c r="R39" s="388">
        <f t="shared" si="32"/>
        <v>-2.7370000000000001</v>
      </c>
      <c r="S39" s="384">
        <f t="shared" si="46"/>
        <v>0.43333333333333335</v>
      </c>
      <c r="T39" s="385">
        <v>0</v>
      </c>
      <c r="U39" s="388">
        <f t="shared" si="33"/>
        <v>-0.43333333333333335</v>
      </c>
      <c r="V39" s="384">
        <v>5.218</v>
      </c>
      <c r="W39" s="385">
        <v>1.244</v>
      </c>
      <c r="X39" s="388">
        <f t="shared" si="34"/>
        <v>-3.9740000000000002</v>
      </c>
      <c r="Y39" s="384">
        <v>4.4409999999999998</v>
      </c>
      <c r="Z39" s="385">
        <v>3.6480000000000001</v>
      </c>
      <c r="AA39" s="388">
        <f t="shared" si="35"/>
        <v>-0.79299999999999971</v>
      </c>
      <c r="AB39" s="384">
        <v>1.8620000000000001</v>
      </c>
      <c r="AC39" s="385">
        <v>0.68899999999999995</v>
      </c>
      <c r="AD39" s="388">
        <f t="shared" si="36"/>
        <v>-1.173</v>
      </c>
      <c r="AE39" s="384">
        <v>21.382999999999999</v>
      </c>
      <c r="AF39" s="385">
        <v>14.563000000000001</v>
      </c>
      <c r="AG39" s="388">
        <f t="shared" si="37"/>
        <v>-6.8199999999999985</v>
      </c>
      <c r="AH39" s="384">
        <v>0.73499999999999999</v>
      </c>
      <c r="AI39" s="385">
        <v>0</v>
      </c>
      <c r="AJ39" s="388">
        <f t="shared" si="38"/>
        <v>-0.73499999999999999</v>
      </c>
      <c r="AK39" s="384">
        <v>0.26500000000000001</v>
      </c>
      <c r="AL39" s="385">
        <v>0</v>
      </c>
      <c r="AM39" s="388">
        <f t="shared" si="39"/>
        <v>-0.26500000000000001</v>
      </c>
      <c r="AN39" s="384">
        <v>8.5999999999999993E-2</v>
      </c>
      <c r="AO39" s="385">
        <v>0</v>
      </c>
      <c r="AP39" s="388">
        <f t="shared" si="40"/>
        <v>-8.5999999999999993E-2</v>
      </c>
      <c r="AQ39" s="384">
        <v>0.27500000000000002</v>
      </c>
      <c r="AR39" s="385">
        <v>0</v>
      </c>
      <c r="AS39" s="388">
        <f t="shared" si="41"/>
        <v>-0.27500000000000002</v>
      </c>
      <c r="AT39" s="384">
        <v>0.40300000000000002</v>
      </c>
      <c r="AU39" s="385">
        <v>0</v>
      </c>
      <c r="AV39" s="388">
        <f t="shared" si="42"/>
        <v>-0.40300000000000002</v>
      </c>
      <c r="AW39" s="384">
        <v>7.0999999999999994E-2</v>
      </c>
      <c r="AX39" s="385">
        <v>0</v>
      </c>
      <c r="AY39" s="388">
        <f t="shared" si="43"/>
        <v>-7.0999999999999994E-2</v>
      </c>
    </row>
    <row r="40" spans="1:52" ht="16">
      <c r="A40" s="797"/>
      <c r="B40" s="800"/>
      <c r="C40" s="24" t="s">
        <v>119</v>
      </c>
      <c r="D40" s="381">
        <f t="shared" si="4"/>
        <v>40.158333333333331</v>
      </c>
      <c r="E40" s="382">
        <f t="shared" si="5"/>
        <v>20.144000000000002</v>
      </c>
      <c r="F40" s="383">
        <f t="shared" si="6"/>
        <v>-20.01433333333333</v>
      </c>
      <c r="G40" s="384">
        <f t="shared" si="45"/>
        <v>0.75</v>
      </c>
      <c r="H40" s="385">
        <v>0</v>
      </c>
      <c r="I40" s="386">
        <f t="shared" si="29"/>
        <v>-0.75</v>
      </c>
      <c r="J40" s="384">
        <v>1.0489999999999999</v>
      </c>
      <c r="K40" s="385">
        <v>0</v>
      </c>
      <c r="L40" s="386">
        <f t="shared" si="30"/>
        <v>-1.0489999999999999</v>
      </c>
      <c r="M40" s="384">
        <f t="shared" si="44"/>
        <v>0.45</v>
      </c>
      <c r="N40" s="385">
        <v>0</v>
      </c>
      <c r="O40" s="386">
        <f t="shared" si="31"/>
        <v>-0.45</v>
      </c>
      <c r="P40" s="384">
        <v>2.7370000000000001</v>
      </c>
      <c r="Q40" s="385">
        <v>0</v>
      </c>
      <c r="R40" s="388">
        <f t="shared" si="32"/>
        <v>-2.7370000000000001</v>
      </c>
      <c r="S40" s="384">
        <f t="shared" si="46"/>
        <v>0.43333333333333335</v>
      </c>
      <c r="T40" s="385">
        <v>0</v>
      </c>
      <c r="U40" s="388">
        <f t="shared" si="33"/>
        <v>-0.43333333333333335</v>
      </c>
      <c r="V40" s="384">
        <v>5.218</v>
      </c>
      <c r="W40" s="385">
        <v>1.244</v>
      </c>
      <c r="X40" s="388">
        <f t="shared" si="34"/>
        <v>-3.9740000000000002</v>
      </c>
      <c r="Y40" s="384">
        <v>4.4409999999999998</v>
      </c>
      <c r="Z40" s="385">
        <v>3.6480000000000001</v>
      </c>
      <c r="AA40" s="388">
        <f t="shared" si="35"/>
        <v>-0.79299999999999971</v>
      </c>
      <c r="AB40" s="384">
        <v>1.8620000000000001</v>
      </c>
      <c r="AC40" s="385">
        <v>0.68899999999999995</v>
      </c>
      <c r="AD40" s="388">
        <f t="shared" si="36"/>
        <v>-1.173</v>
      </c>
      <c r="AE40" s="384">
        <v>21.382999999999999</v>
      </c>
      <c r="AF40" s="385">
        <v>14.563000000000001</v>
      </c>
      <c r="AG40" s="388">
        <f t="shared" si="37"/>
        <v>-6.8199999999999985</v>
      </c>
      <c r="AH40" s="384">
        <v>0.73499999999999999</v>
      </c>
      <c r="AI40" s="385">
        <v>0</v>
      </c>
      <c r="AJ40" s="388">
        <f t="shared" si="38"/>
        <v>-0.73499999999999999</v>
      </c>
      <c r="AK40" s="384">
        <v>0.26500000000000001</v>
      </c>
      <c r="AL40" s="385">
        <v>0</v>
      </c>
      <c r="AM40" s="388">
        <f t="shared" si="39"/>
        <v>-0.26500000000000001</v>
      </c>
      <c r="AN40" s="384">
        <v>8.5999999999999993E-2</v>
      </c>
      <c r="AO40" s="385">
        <v>0</v>
      </c>
      <c r="AP40" s="388">
        <f t="shared" si="40"/>
        <v>-8.5999999999999993E-2</v>
      </c>
      <c r="AQ40" s="384">
        <v>0.27500000000000002</v>
      </c>
      <c r="AR40" s="385">
        <v>0</v>
      </c>
      <c r="AS40" s="388">
        <f t="shared" si="41"/>
        <v>-0.27500000000000002</v>
      </c>
      <c r="AT40" s="384">
        <v>0.40300000000000002</v>
      </c>
      <c r="AU40" s="385">
        <v>0</v>
      </c>
      <c r="AV40" s="388">
        <f t="shared" si="42"/>
        <v>-0.40300000000000002</v>
      </c>
      <c r="AW40" s="384">
        <v>7.0999999999999994E-2</v>
      </c>
      <c r="AX40" s="385">
        <v>0</v>
      </c>
      <c r="AY40" s="388">
        <f t="shared" si="43"/>
        <v>-7.0999999999999994E-2</v>
      </c>
    </row>
    <row r="41" spans="1:52" ht="16">
      <c r="A41" s="797"/>
      <c r="B41" s="800"/>
      <c r="C41" s="24" t="s">
        <v>120</v>
      </c>
      <c r="D41" s="381">
        <f t="shared" si="4"/>
        <v>40.158333333333331</v>
      </c>
      <c r="E41" s="382">
        <f t="shared" si="5"/>
        <v>20.144000000000002</v>
      </c>
      <c r="F41" s="383">
        <f t="shared" si="6"/>
        <v>-20.01433333333333</v>
      </c>
      <c r="G41" s="384">
        <f t="shared" si="45"/>
        <v>0.75</v>
      </c>
      <c r="H41" s="385">
        <v>0</v>
      </c>
      <c r="I41" s="386">
        <f t="shared" si="29"/>
        <v>-0.75</v>
      </c>
      <c r="J41" s="384">
        <v>1.0489999999999999</v>
      </c>
      <c r="K41" s="385">
        <v>0</v>
      </c>
      <c r="L41" s="386">
        <f t="shared" si="30"/>
        <v>-1.0489999999999999</v>
      </c>
      <c r="M41" s="384">
        <f t="shared" si="44"/>
        <v>0.45</v>
      </c>
      <c r="N41" s="385">
        <v>0</v>
      </c>
      <c r="O41" s="386">
        <f t="shared" si="31"/>
        <v>-0.45</v>
      </c>
      <c r="P41" s="384">
        <v>2.7370000000000001</v>
      </c>
      <c r="Q41" s="385">
        <v>0</v>
      </c>
      <c r="R41" s="388">
        <f t="shared" si="32"/>
        <v>-2.7370000000000001</v>
      </c>
      <c r="S41" s="384">
        <f t="shared" si="46"/>
        <v>0.43333333333333335</v>
      </c>
      <c r="T41" s="385">
        <v>0</v>
      </c>
      <c r="U41" s="388">
        <f t="shared" si="33"/>
        <v>-0.43333333333333335</v>
      </c>
      <c r="V41" s="384">
        <v>5.218</v>
      </c>
      <c r="W41" s="385">
        <v>1.244</v>
      </c>
      <c r="X41" s="388">
        <f t="shared" si="34"/>
        <v>-3.9740000000000002</v>
      </c>
      <c r="Y41" s="384">
        <v>4.4409999999999998</v>
      </c>
      <c r="Z41" s="385">
        <v>3.6480000000000001</v>
      </c>
      <c r="AA41" s="388">
        <f t="shared" si="35"/>
        <v>-0.79299999999999971</v>
      </c>
      <c r="AB41" s="384">
        <v>1.8620000000000001</v>
      </c>
      <c r="AC41" s="385">
        <v>0.68899999999999995</v>
      </c>
      <c r="AD41" s="388">
        <f t="shared" si="36"/>
        <v>-1.173</v>
      </c>
      <c r="AE41" s="384">
        <v>21.382999999999999</v>
      </c>
      <c r="AF41" s="385">
        <v>14.563000000000001</v>
      </c>
      <c r="AG41" s="388">
        <f t="shared" si="37"/>
        <v>-6.8199999999999985</v>
      </c>
      <c r="AH41" s="384">
        <v>0.73499999999999999</v>
      </c>
      <c r="AI41" s="385">
        <v>0</v>
      </c>
      <c r="AJ41" s="388">
        <f t="shared" si="38"/>
        <v>-0.73499999999999999</v>
      </c>
      <c r="AK41" s="384">
        <v>0.26500000000000001</v>
      </c>
      <c r="AL41" s="385">
        <v>0</v>
      </c>
      <c r="AM41" s="388">
        <f t="shared" si="39"/>
        <v>-0.26500000000000001</v>
      </c>
      <c r="AN41" s="384">
        <v>8.5999999999999993E-2</v>
      </c>
      <c r="AO41" s="385">
        <v>0</v>
      </c>
      <c r="AP41" s="388">
        <f t="shared" si="40"/>
        <v>-8.5999999999999993E-2</v>
      </c>
      <c r="AQ41" s="384">
        <v>0.27500000000000002</v>
      </c>
      <c r="AR41" s="385">
        <v>0</v>
      </c>
      <c r="AS41" s="388">
        <f t="shared" si="41"/>
        <v>-0.27500000000000002</v>
      </c>
      <c r="AT41" s="384">
        <v>0.40300000000000002</v>
      </c>
      <c r="AU41" s="385">
        <v>0</v>
      </c>
      <c r="AV41" s="388">
        <f t="shared" si="42"/>
        <v>-0.40300000000000002</v>
      </c>
      <c r="AW41" s="384">
        <v>7.0999999999999994E-2</v>
      </c>
      <c r="AX41" s="385">
        <v>0</v>
      </c>
      <c r="AY41" s="388">
        <f t="shared" si="43"/>
        <v>-7.0999999999999994E-2</v>
      </c>
    </row>
    <row r="42" spans="1:52" ht="16">
      <c r="A42" s="797"/>
      <c r="B42" s="800"/>
      <c r="C42" s="24" t="s">
        <v>121</v>
      </c>
      <c r="D42" s="381">
        <f t="shared" si="4"/>
        <v>40.158333333333331</v>
      </c>
      <c r="E42" s="382">
        <f t="shared" si="5"/>
        <v>20.144000000000002</v>
      </c>
      <c r="F42" s="383">
        <f t="shared" si="6"/>
        <v>-20.01433333333333</v>
      </c>
      <c r="G42" s="384">
        <f t="shared" si="45"/>
        <v>0.75</v>
      </c>
      <c r="H42" s="385">
        <v>0</v>
      </c>
      <c r="I42" s="386">
        <f t="shared" si="29"/>
        <v>-0.75</v>
      </c>
      <c r="J42" s="384">
        <v>1.0489999999999999</v>
      </c>
      <c r="K42" s="385">
        <v>0</v>
      </c>
      <c r="L42" s="386">
        <f t="shared" si="30"/>
        <v>-1.0489999999999999</v>
      </c>
      <c r="M42" s="384">
        <f t="shared" si="44"/>
        <v>0.45</v>
      </c>
      <c r="N42" s="385">
        <v>0</v>
      </c>
      <c r="O42" s="386">
        <f t="shared" si="31"/>
        <v>-0.45</v>
      </c>
      <c r="P42" s="384">
        <v>2.7370000000000001</v>
      </c>
      <c r="Q42" s="385">
        <v>0</v>
      </c>
      <c r="R42" s="388">
        <f t="shared" si="32"/>
        <v>-2.7370000000000001</v>
      </c>
      <c r="S42" s="384">
        <f t="shared" si="46"/>
        <v>0.43333333333333335</v>
      </c>
      <c r="T42" s="385">
        <v>0</v>
      </c>
      <c r="U42" s="388">
        <f t="shared" si="33"/>
        <v>-0.43333333333333335</v>
      </c>
      <c r="V42" s="384">
        <v>5.218</v>
      </c>
      <c r="W42" s="385">
        <v>1.244</v>
      </c>
      <c r="X42" s="388">
        <f t="shared" si="34"/>
        <v>-3.9740000000000002</v>
      </c>
      <c r="Y42" s="384">
        <v>4.4409999999999998</v>
      </c>
      <c r="Z42" s="385">
        <v>3.6480000000000001</v>
      </c>
      <c r="AA42" s="388">
        <f t="shared" si="35"/>
        <v>-0.79299999999999971</v>
      </c>
      <c r="AB42" s="384">
        <v>1.8620000000000001</v>
      </c>
      <c r="AC42" s="385">
        <v>0.68899999999999995</v>
      </c>
      <c r="AD42" s="388">
        <f t="shared" si="36"/>
        <v>-1.173</v>
      </c>
      <c r="AE42" s="384">
        <v>21.382999999999999</v>
      </c>
      <c r="AF42" s="385">
        <v>14.563000000000001</v>
      </c>
      <c r="AG42" s="388">
        <f t="shared" si="37"/>
        <v>-6.8199999999999985</v>
      </c>
      <c r="AH42" s="384">
        <v>0.73499999999999999</v>
      </c>
      <c r="AI42" s="385">
        <v>0</v>
      </c>
      <c r="AJ42" s="388">
        <f t="shared" si="38"/>
        <v>-0.73499999999999999</v>
      </c>
      <c r="AK42" s="384">
        <v>0.26500000000000001</v>
      </c>
      <c r="AL42" s="385">
        <v>0</v>
      </c>
      <c r="AM42" s="388">
        <f t="shared" si="39"/>
        <v>-0.26500000000000001</v>
      </c>
      <c r="AN42" s="384">
        <v>8.5999999999999993E-2</v>
      </c>
      <c r="AO42" s="385">
        <v>0</v>
      </c>
      <c r="AP42" s="388">
        <f t="shared" si="40"/>
        <v>-8.5999999999999993E-2</v>
      </c>
      <c r="AQ42" s="384">
        <v>0.27500000000000002</v>
      </c>
      <c r="AR42" s="385">
        <v>0</v>
      </c>
      <c r="AS42" s="388">
        <f t="shared" si="41"/>
        <v>-0.27500000000000002</v>
      </c>
      <c r="AT42" s="384">
        <v>0.40300000000000002</v>
      </c>
      <c r="AU42" s="385">
        <v>0</v>
      </c>
      <c r="AV42" s="388">
        <f t="shared" si="42"/>
        <v>-0.40300000000000002</v>
      </c>
      <c r="AW42" s="384">
        <v>7.0999999999999994E-2</v>
      </c>
      <c r="AX42" s="385">
        <v>0</v>
      </c>
      <c r="AY42" s="388">
        <f t="shared" si="43"/>
        <v>-7.0999999999999994E-2</v>
      </c>
    </row>
    <row r="43" spans="1:52" ht="16">
      <c r="A43" s="797"/>
      <c r="B43" s="800"/>
      <c r="C43" s="24" t="s">
        <v>122</v>
      </c>
      <c r="D43" s="381">
        <f t="shared" si="4"/>
        <v>40.158333333333331</v>
      </c>
      <c r="E43" s="382">
        <f t="shared" si="5"/>
        <v>20.144000000000002</v>
      </c>
      <c r="F43" s="383">
        <f t="shared" si="6"/>
        <v>-20.01433333333333</v>
      </c>
      <c r="G43" s="384">
        <f t="shared" si="45"/>
        <v>0.75</v>
      </c>
      <c r="H43" s="385">
        <v>0</v>
      </c>
      <c r="I43" s="386">
        <f t="shared" si="29"/>
        <v>-0.75</v>
      </c>
      <c r="J43" s="384">
        <v>1.0489999999999999</v>
      </c>
      <c r="K43" s="385">
        <v>0</v>
      </c>
      <c r="L43" s="386">
        <f t="shared" si="30"/>
        <v>-1.0489999999999999</v>
      </c>
      <c r="M43" s="384">
        <f t="shared" si="44"/>
        <v>0.45</v>
      </c>
      <c r="N43" s="385">
        <v>0</v>
      </c>
      <c r="O43" s="386">
        <f t="shared" si="31"/>
        <v>-0.45</v>
      </c>
      <c r="P43" s="384">
        <v>2.7370000000000001</v>
      </c>
      <c r="Q43" s="385">
        <v>0</v>
      </c>
      <c r="R43" s="388">
        <f t="shared" si="32"/>
        <v>-2.7370000000000001</v>
      </c>
      <c r="S43" s="384">
        <f t="shared" si="46"/>
        <v>0.43333333333333335</v>
      </c>
      <c r="T43" s="385">
        <v>0</v>
      </c>
      <c r="U43" s="388">
        <f t="shared" si="33"/>
        <v>-0.43333333333333335</v>
      </c>
      <c r="V43" s="384">
        <v>5.218</v>
      </c>
      <c r="W43" s="385">
        <v>1.244</v>
      </c>
      <c r="X43" s="388">
        <f t="shared" si="34"/>
        <v>-3.9740000000000002</v>
      </c>
      <c r="Y43" s="384">
        <v>4.4409999999999998</v>
      </c>
      <c r="Z43" s="385">
        <v>3.6480000000000001</v>
      </c>
      <c r="AA43" s="388">
        <f t="shared" si="35"/>
        <v>-0.79299999999999971</v>
      </c>
      <c r="AB43" s="384">
        <v>1.8620000000000001</v>
      </c>
      <c r="AC43" s="385">
        <v>0.68899999999999995</v>
      </c>
      <c r="AD43" s="388">
        <f t="shared" si="36"/>
        <v>-1.173</v>
      </c>
      <c r="AE43" s="384">
        <v>21.382999999999999</v>
      </c>
      <c r="AF43" s="385">
        <v>14.563000000000001</v>
      </c>
      <c r="AG43" s="388">
        <f t="shared" si="37"/>
        <v>-6.8199999999999985</v>
      </c>
      <c r="AH43" s="384">
        <v>0.73499999999999999</v>
      </c>
      <c r="AI43" s="385">
        <v>0</v>
      </c>
      <c r="AJ43" s="388">
        <f t="shared" si="38"/>
        <v>-0.73499999999999999</v>
      </c>
      <c r="AK43" s="384">
        <v>0.26500000000000001</v>
      </c>
      <c r="AL43" s="385">
        <v>0</v>
      </c>
      <c r="AM43" s="388">
        <f t="shared" si="39"/>
        <v>-0.26500000000000001</v>
      </c>
      <c r="AN43" s="384">
        <v>8.5999999999999993E-2</v>
      </c>
      <c r="AO43" s="385">
        <v>0</v>
      </c>
      <c r="AP43" s="388">
        <f t="shared" si="40"/>
        <v>-8.5999999999999993E-2</v>
      </c>
      <c r="AQ43" s="384">
        <v>0.27500000000000002</v>
      </c>
      <c r="AR43" s="385">
        <v>0</v>
      </c>
      <c r="AS43" s="388">
        <f t="shared" si="41"/>
        <v>-0.27500000000000002</v>
      </c>
      <c r="AT43" s="384">
        <v>0.40300000000000002</v>
      </c>
      <c r="AU43" s="385">
        <v>0</v>
      </c>
      <c r="AV43" s="388">
        <f t="shared" si="42"/>
        <v>-0.40300000000000002</v>
      </c>
      <c r="AW43" s="384">
        <v>7.0999999999999994E-2</v>
      </c>
      <c r="AX43" s="385">
        <v>0</v>
      </c>
      <c r="AY43" s="388">
        <f t="shared" si="43"/>
        <v>-7.0999999999999994E-2</v>
      </c>
    </row>
    <row r="44" spans="1:52" ht="16">
      <c r="A44" s="797"/>
      <c r="B44" s="800"/>
      <c r="C44" s="24" t="s">
        <v>123</v>
      </c>
      <c r="D44" s="381">
        <f t="shared" si="4"/>
        <v>40.158333333333331</v>
      </c>
      <c r="E44" s="382">
        <f t="shared" si="5"/>
        <v>20.144000000000002</v>
      </c>
      <c r="F44" s="383">
        <f t="shared" si="6"/>
        <v>-20.01433333333333</v>
      </c>
      <c r="G44" s="384">
        <f t="shared" si="45"/>
        <v>0.75</v>
      </c>
      <c r="H44" s="385">
        <v>0</v>
      </c>
      <c r="I44" s="386">
        <f t="shared" si="29"/>
        <v>-0.75</v>
      </c>
      <c r="J44" s="384">
        <v>1.0489999999999999</v>
      </c>
      <c r="K44" s="385">
        <v>0</v>
      </c>
      <c r="L44" s="386">
        <f t="shared" si="30"/>
        <v>-1.0489999999999999</v>
      </c>
      <c r="M44" s="384">
        <f t="shared" si="44"/>
        <v>0.45</v>
      </c>
      <c r="N44" s="385">
        <v>0</v>
      </c>
      <c r="O44" s="386">
        <f t="shared" si="31"/>
        <v>-0.45</v>
      </c>
      <c r="P44" s="384">
        <v>2.7370000000000001</v>
      </c>
      <c r="Q44" s="385">
        <v>0</v>
      </c>
      <c r="R44" s="388">
        <f t="shared" si="32"/>
        <v>-2.7370000000000001</v>
      </c>
      <c r="S44" s="384">
        <f t="shared" si="46"/>
        <v>0.43333333333333335</v>
      </c>
      <c r="T44" s="385">
        <v>0</v>
      </c>
      <c r="U44" s="388">
        <f t="shared" si="33"/>
        <v>-0.43333333333333335</v>
      </c>
      <c r="V44" s="384">
        <v>5.218</v>
      </c>
      <c r="W44" s="385">
        <v>1.244</v>
      </c>
      <c r="X44" s="388">
        <f t="shared" si="34"/>
        <v>-3.9740000000000002</v>
      </c>
      <c r="Y44" s="384">
        <v>4.4409999999999998</v>
      </c>
      <c r="Z44" s="385">
        <v>3.6480000000000001</v>
      </c>
      <c r="AA44" s="388">
        <f t="shared" si="35"/>
        <v>-0.79299999999999971</v>
      </c>
      <c r="AB44" s="384">
        <v>1.8620000000000001</v>
      </c>
      <c r="AC44" s="385">
        <v>0.68899999999999995</v>
      </c>
      <c r="AD44" s="388">
        <f t="shared" si="36"/>
        <v>-1.173</v>
      </c>
      <c r="AE44" s="384">
        <v>21.382999999999999</v>
      </c>
      <c r="AF44" s="385">
        <v>14.563000000000001</v>
      </c>
      <c r="AG44" s="388">
        <f t="shared" si="37"/>
        <v>-6.8199999999999985</v>
      </c>
      <c r="AH44" s="384">
        <v>0.73499999999999999</v>
      </c>
      <c r="AI44" s="385">
        <v>0</v>
      </c>
      <c r="AJ44" s="388">
        <f t="shared" si="38"/>
        <v>-0.73499999999999999</v>
      </c>
      <c r="AK44" s="384">
        <v>0.26500000000000001</v>
      </c>
      <c r="AL44" s="385">
        <v>0</v>
      </c>
      <c r="AM44" s="388">
        <f t="shared" si="39"/>
        <v>-0.26500000000000001</v>
      </c>
      <c r="AN44" s="384">
        <v>8.5999999999999993E-2</v>
      </c>
      <c r="AO44" s="385">
        <v>0</v>
      </c>
      <c r="AP44" s="388">
        <f t="shared" si="40"/>
        <v>-8.5999999999999993E-2</v>
      </c>
      <c r="AQ44" s="384">
        <v>0.27500000000000002</v>
      </c>
      <c r="AR44" s="385">
        <v>0</v>
      </c>
      <c r="AS44" s="388">
        <f t="shared" si="41"/>
        <v>-0.27500000000000002</v>
      </c>
      <c r="AT44" s="384">
        <v>0.40300000000000002</v>
      </c>
      <c r="AU44" s="385">
        <v>0</v>
      </c>
      <c r="AV44" s="388">
        <f t="shared" si="42"/>
        <v>-0.40300000000000002</v>
      </c>
      <c r="AW44" s="384">
        <v>7.0999999999999994E-2</v>
      </c>
      <c r="AX44" s="385">
        <v>0</v>
      </c>
      <c r="AY44" s="388">
        <f t="shared" si="43"/>
        <v>-7.0999999999999994E-2</v>
      </c>
    </row>
    <row r="45" spans="1:52" ht="17" thickBot="1">
      <c r="A45" s="798"/>
      <c r="B45" s="801"/>
      <c r="C45" s="364" t="s">
        <v>124</v>
      </c>
      <c r="D45" s="389">
        <f t="shared" si="4"/>
        <v>40.158333333333331</v>
      </c>
      <c r="E45" s="390">
        <f t="shared" si="5"/>
        <v>20.144000000000002</v>
      </c>
      <c r="F45" s="391">
        <f t="shared" si="6"/>
        <v>-20.01433333333333</v>
      </c>
      <c r="G45" s="384">
        <f t="shared" si="45"/>
        <v>0.75</v>
      </c>
      <c r="H45" s="393">
        <v>0</v>
      </c>
      <c r="I45" s="394">
        <f>H45-G45</f>
        <v>-0.75</v>
      </c>
      <c r="J45" s="392">
        <v>1.0489999999999999</v>
      </c>
      <c r="K45" s="393">
        <v>0</v>
      </c>
      <c r="L45" s="394">
        <f>K45-J45</f>
        <v>-1.0489999999999999</v>
      </c>
      <c r="M45" s="384">
        <f t="shared" si="44"/>
        <v>0.45</v>
      </c>
      <c r="N45" s="393">
        <v>0</v>
      </c>
      <c r="O45" s="394">
        <f>N45-M45</f>
        <v>-0.45</v>
      </c>
      <c r="P45" s="392">
        <v>2.7370000000000001</v>
      </c>
      <c r="Q45" s="393">
        <v>0</v>
      </c>
      <c r="R45" s="396">
        <f>Q45-P45</f>
        <v>-2.7370000000000001</v>
      </c>
      <c r="S45" s="384">
        <f>26/60</f>
        <v>0.43333333333333335</v>
      </c>
      <c r="T45" s="393">
        <v>0</v>
      </c>
      <c r="U45" s="396">
        <f>T45-S45</f>
        <v>-0.43333333333333335</v>
      </c>
      <c r="V45" s="392">
        <v>5.218</v>
      </c>
      <c r="W45" s="393">
        <v>1.244</v>
      </c>
      <c r="X45" s="396">
        <f>W45-V45</f>
        <v>-3.9740000000000002</v>
      </c>
      <c r="Y45" s="392">
        <v>4.4409999999999998</v>
      </c>
      <c r="Z45" s="393">
        <v>3.6480000000000001</v>
      </c>
      <c r="AA45" s="396">
        <f>Z45-Y45</f>
        <v>-0.79299999999999971</v>
      </c>
      <c r="AB45" s="392">
        <v>1.8620000000000001</v>
      </c>
      <c r="AC45" s="393">
        <v>0.68899999999999995</v>
      </c>
      <c r="AD45" s="396">
        <f>AC45-AB45</f>
        <v>-1.173</v>
      </c>
      <c r="AE45" s="392">
        <v>21.382999999999999</v>
      </c>
      <c r="AF45" s="393">
        <v>14.563000000000001</v>
      </c>
      <c r="AG45" s="396">
        <f>AF45-AE45</f>
        <v>-6.8199999999999985</v>
      </c>
      <c r="AH45" s="392">
        <v>0.73499999999999999</v>
      </c>
      <c r="AI45" s="393">
        <v>0</v>
      </c>
      <c r="AJ45" s="396">
        <f>AI45-AH45</f>
        <v>-0.73499999999999999</v>
      </c>
      <c r="AK45" s="392">
        <v>0.26500000000000001</v>
      </c>
      <c r="AL45" s="393">
        <v>0</v>
      </c>
      <c r="AM45" s="396">
        <f>AL45-AK45</f>
        <v>-0.26500000000000001</v>
      </c>
      <c r="AN45" s="392">
        <v>8.5999999999999993E-2</v>
      </c>
      <c r="AO45" s="393">
        <v>0</v>
      </c>
      <c r="AP45" s="396">
        <f>AO45-AN45</f>
        <v>-8.5999999999999993E-2</v>
      </c>
      <c r="AQ45" s="392">
        <v>0.27500000000000002</v>
      </c>
      <c r="AR45" s="393">
        <v>0</v>
      </c>
      <c r="AS45" s="396">
        <f>AR45-AQ45</f>
        <v>-0.27500000000000002</v>
      </c>
      <c r="AT45" s="392">
        <v>0.40300000000000002</v>
      </c>
      <c r="AU45" s="393">
        <v>0</v>
      </c>
      <c r="AV45" s="396">
        <f>AU45-AT45</f>
        <v>-0.40300000000000002</v>
      </c>
      <c r="AW45" s="392">
        <v>7.0999999999999994E-2</v>
      </c>
      <c r="AX45" s="393">
        <v>0</v>
      </c>
      <c r="AY45" s="396">
        <f>AX45-AW45</f>
        <v>-7.0999999999999994E-2</v>
      </c>
    </row>
    <row r="46" spans="1:52" s="398" customFormat="1" ht="14.5" customHeight="1">
      <c r="A46" s="796" t="s">
        <v>194</v>
      </c>
      <c r="B46" s="799" t="s">
        <v>195</v>
      </c>
      <c r="C46" s="346" t="s">
        <v>115</v>
      </c>
      <c r="D46" s="373">
        <f t="shared" si="4"/>
        <v>0</v>
      </c>
      <c r="E46" s="374">
        <f t="shared" si="5"/>
        <v>0</v>
      </c>
      <c r="F46" s="375">
        <f t="shared" si="6"/>
        <v>0</v>
      </c>
      <c r="G46" s="376"/>
      <c r="H46" s="377"/>
      <c r="I46" s="378">
        <f t="shared" ref="I46:I54" si="47">H46-G46</f>
        <v>0</v>
      </c>
      <c r="J46" s="377"/>
      <c r="K46" s="377"/>
      <c r="L46" s="378">
        <f t="shared" ref="L46:L54" si="48">K46-J46</f>
        <v>0</v>
      </c>
      <c r="M46" s="377"/>
      <c r="N46" s="377"/>
      <c r="O46" s="378">
        <f t="shared" ref="O46:O54" si="49">N46-M46</f>
        <v>0</v>
      </c>
      <c r="P46" s="377">
        <v>0</v>
      </c>
      <c r="Q46" s="379">
        <v>0</v>
      </c>
      <c r="R46" s="380">
        <f t="shared" ref="R46:R54" si="50">Q46-P46</f>
        <v>0</v>
      </c>
      <c r="S46" s="377">
        <v>0</v>
      </c>
      <c r="T46" s="379">
        <v>0</v>
      </c>
      <c r="U46" s="380">
        <f t="shared" ref="U46:U54" si="51">T46-S46</f>
        <v>0</v>
      </c>
      <c r="V46" s="377">
        <v>0</v>
      </c>
      <c r="W46" s="379">
        <v>0</v>
      </c>
      <c r="X46" s="380">
        <f t="shared" ref="X46:X54" si="52">W46-V46</f>
        <v>0</v>
      </c>
      <c r="Y46" s="377">
        <v>0</v>
      </c>
      <c r="Z46" s="379">
        <v>0</v>
      </c>
      <c r="AA46" s="380">
        <f t="shared" ref="AA46:AA54" si="53">Z46-Y46</f>
        <v>0</v>
      </c>
      <c r="AB46" s="377"/>
      <c r="AC46" s="379">
        <v>0</v>
      </c>
      <c r="AD46" s="380">
        <f t="shared" ref="AD46:AD54" si="54">AC46-AB46</f>
        <v>0</v>
      </c>
      <c r="AE46" s="377"/>
      <c r="AF46" s="379">
        <v>0</v>
      </c>
      <c r="AG46" s="380">
        <f t="shared" ref="AG46:AG54" si="55">AF46-AE46</f>
        <v>0</v>
      </c>
      <c r="AH46" s="377"/>
      <c r="AI46" s="379">
        <v>0</v>
      </c>
      <c r="AJ46" s="380">
        <f t="shared" ref="AJ46:AJ54" si="56">AI46-AH46</f>
        <v>0</v>
      </c>
      <c r="AK46" s="377"/>
      <c r="AL46" s="379">
        <v>0</v>
      </c>
      <c r="AM46" s="380">
        <f t="shared" ref="AM46:AM54" si="57">AL46-AK46</f>
        <v>0</v>
      </c>
      <c r="AN46" s="377"/>
      <c r="AO46" s="379">
        <v>0</v>
      </c>
      <c r="AP46" s="380">
        <f t="shared" ref="AP46:AP54" si="58">AO46-AN46</f>
        <v>0</v>
      </c>
      <c r="AQ46" s="377"/>
      <c r="AR46" s="379">
        <v>0</v>
      </c>
      <c r="AS46" s="380">
        <f t="shared" ref="AS46:AS54" si="59">AR46-AQ46</f>
        <v>0</v>
      </c>
      <c r="AT46" s="377"/>
      <c r="AU46" s="379">
        <v>0</v>
      </c>
      <c r="AV46" s="380">
        <f t="shared" ref="AV46:AV54" si="60">AU46-AT46</f>
        <v>0</v>
      </c>
      <c r="AW46" s="377"/>
      <c r="AX46" s="379">
        <v>0</v>
      </c>
      <c r="AY46" s="380">
        <f t="shared" si="43"/>
        <v>0</v>
      </c>
      <c r="AZ46" s="397">
        <f>'Analyza citlivosti - AgendovéIS'!Q7</f>
        <v>0</v>
      </c>
    </row>
    <row r="47" spans="1:52" ht="16">
      <c r="A47" s="797"/>
      <c r="B47" s="800"/>
      <c r="C47" s="24" t="s">
        <v>116</v>
      </c>
      <c r="D47" s="381">
        <f t="shared" si="4"/>
        <v>0</v>
      </c>
      <c r="E47" s="382">
        <f t="shared" si="5"/>
        <v>0</v>
      </c>
      <c r="F47" s="383">
        <f t="shared" si="6"/>
        <v>0</v>
      </c>
      <c r="G47" s="384"/>
      <c r="H47" s="385"/>
      <c r="I47" s="386">
        <f t="shared" si="47"/>
        <v>0</v>
      </c>
      <c r="J47" s="385"/>
      <c r="K47" s="385"/>
      <c r="L47" s="386">
        <f t="shared" si="48"/>
        <v>0</v>
      </c>
      <c r="M47" s="385"/>
      <c r="N47" s="385"/>
      <c r="O47" s="386">
        <f t="shared" si="49"/>
        <v>0</v>
      </c>
      <c r="P47" s="385">
        <v>0</v>
      </c>
      <c r="Q47" s="387">
        <v>0</v>
      </c>
      <c r="R47" s="388">
        <f t="shared" si="50"/>
        <v>0</v>
      </c>
      <c r="S47" s="385">
        <v>0</v>
      </c>
      <c r="T47" s="387">
        <v>0</v>
      </c>
      <c r="U47" s="388">
        <f t="shared" si="51"/>
        <v>0</v>
      </c>
      <c r="V47" s="385">
        <v>0</v>
      </c>
      <c r="W47" s="387">
        <v>0</v>
      </c>
      <c r="X47" s="388">
        <f t="shared" si="52"/>
        <v>0</v>
      </c>
      <c r="Y47" s="385">
        <v>0</v>
      </c>
      <c r="Z47" s="387">
        <v>0</v>
      </c>
      <c r="AA47" s="388">
        <f t="shared" si="53"/>
        <v>0</v>
      </c>
      <c r="AB47" s="385">
        <v>0</v>
      </c>
      <c r="AC47" s="387">
        <v>0</v>
      </c>
      <c r="AD47" s="388">
        <f t="shared" si="54"/>
        <v>0</v>
      </c>
      <c r="AE47" s="385">
        <v>0</v>
      </c>
      <c r="AF47" s="387">
        <v>0</v>
      </c>
      <c r="AG47" s="388">
        <f t="shared" si="55"/>
        <v>0</v>
      </c>
      <c r="AH47" s="385">
        <v>0</v>
      </c>
      <c r="AI47" s="387">
        <v>0</v>
      </c>
      <c r="AJ47" s="388">
        <f t="shared" si="56"/>
        <v>0</v>
      </c>
      <c r="AK47" s="385">
        <v>0</v>
      </c>
      <c r="AL47" s="387">
        <v>0</v>
      </c>
      <c r="AM47" s="388">
        <f t="shared" si="57"/>
        <v>0</v>
      </c>
      <c r="AN47" s="385">
        <v>0</v>
      </c>
      <c r="AO47" s="387">
        <v>0</v>
      </c>
      <c r="AP47" s="388">
        <f t="shared" si="58"/>
        <v>0</v>
      </c>
      <c r="AQ47" s="385">
        <v>0</v>
      </c>
      <c r="AR47" s="387">
        <v>0</v>
      </c>
      <c r="AS47" s="388">
        <f t="shared" si="59"/>
        <v>0</v>
      </c>
      <c r="AT47" s="385">
        <v>0</v>
      </c>
      <c r="AU47" s="387">
        <v>0</v>
      </c>
      <c r="AV47" s="388">
        <f t="shared" si="60"/>
        <v>0</v>
      </c>
      <c r="AW47" s="385">
        <v>0</v>
      </c>
      <c r="AX47" s="387">
        <v>0</v>
      </c>
      <c r="AY47" s="388">
        <f t="shared" si="43"/>
        <v>0</v>
      </c>
    </row>
    <row r="48" spans="1:52" ht="16">
      <c r="A48" s="797"/>
      <c r="B48" s="800"/>
      <c r="C48" s="24" t="s">
        <v>117</v>
      </c>
      <c r="D48" s="381">
        <f t="shared" si="4"/>
        <v>0</v>
      </c>
      <c r="E48" s="382">
        <f t="shared" si="5"/>
        <v>0</v>
      </c>
      <c r="F48" s="383">
        <f t="shared" si="6"/>
        <v>0</v>
      </c>
      <c r="G48" s="384"/>
      <c r="H48" s="385"/>
      <c r="I48" s="386">
        <f t="shared" si="47"/>
        <v>0</v>
      </c>
      <c r="J48" s="385"/>
      <c r="K48" s="385"/>
      <c r="L48" s="386">
        <f t="shared" si="48"/>
        <v>0</v>
      </c>
      <c r="M48" s="385"/>
      <c r="N48" s="385"/>
      <c r="O48" s="386">
        <f t="shared" si="49"/>
        <v>0</v>
      </c>
      <c r="P48" s="385">
        <v>0</v>
      </c>
      <c r="Q48" s="387">
        <v>0</v>
      </c>
      <c r="R48" s="388">
        <f t="shared" si="50"/>
        <v>0</v>
      </c>
      <c r="S48" s="385">
        <v>0</v>
      </c>
      <c r="T48" s="387">
        <v>0</v>
      </c>
      <c r="U48" s="388">
        <f t="shared" si="51"/>
        <v>0</v>
      </c>
      <c r="V48" s="385">
        <v>0</v>
      </c>
      <c r="W48" s="387">
        <v>0</v>
      </c>
      <c r="X48" s="388">
        <f t="shared" si="52"/>
        <v>0</v>
      </c>
      <c r="Y48" s="385">
        <v>0</v>
      </c>
      <c r="Z48" s="387">
        <v>0</v>
      </c>
      <c r="AA48" s="388">
        <f t="shared" si="53"/>
        <v>0</v>
      </c>
      <c r="AB48" s="385">
        <v>0</v>
      </c>
      <c r="AC48" s="387">
        <v>0</v>
      </c>
      <c r="AD48" s="388">
        <f t="shared" si="54"/>
        <v>0</v>
      </c>
      <c r="AE48" s="385">
        <v>0</v>
      </c>
      <c r="AF48" s="387">
        <v>0</v>
      </c>
      <c r="AG48" s="388">
        <f t="shared" si="55"/>
        <v>0</v>
      </c>
      <c r="AH48" s="385">
        <v>0</v>
      </c>
      <c r="AI48" s="387">
        <v>0</v>
      </c>
      <c r="AJ48" s="388">
        <f t="shared" si="56"/>
        <v>0</v>
      </c>
      <c r="AK48" s="385">
        <v>0</v>
      </c>
      <c r="AL48" s="387">
        <v>0</v>
      </c>
      <c r="AM48" s="388">
        <f t="shared" si="57"/>
        <v>0</v>
      </c>
      <c r="AN48" s="385">
        <v>0</v>
      </c>
      <c r="AO48" s="387">
        <v>0</v>
      </c>
      <c r="AP48" s="388">
        <f t="shared" si="58"/>
        <v>0</v>
      </c>
      <c r="AQ48" s="385">
        <v>0</v>
      </c>
      <c r="AR48" s="387">
        <v>0</v>
      </c>
      <c r="AS48" s="388">
        <f t="shared" si="59"/>
        <v>0</v>
      </c>
      <c r="AT48" s="385">
        <v>0</v>
      </c>
      <c r="AU48" s="387">
        <v>0</v>
      </c>
      <c r="AV48" s="388">
        <f t="shared" si="60"/>
        <v>0</v>
      </c>
      <c r="AW48" s="385">
        <v>0</v>
      </c>
      <c r="AX48" s="387">
        <v>0</v>
      </c>
      <c r="AY48" s="388">
        <f t="shared" si="43"/>
        <v>0</v>
      </c>
    </row>
    <row r="49" spans="1:52" ht="16">
      <c r="A49" s="797"/>
      <c r="B49" s="800"/>
      <c r="C49" s="24" t="s">
        <v>118</v>
      </c>
      <c r="D49" s="381">
        <f t="shared" si="4"/>
        <v>0</v>
      </c>
      <c r="E49" s="382">
        <f t="shared" si="5"/>
        <v>0</v>
      </c>
      <c r="F49" s="383">
        <f t="shared" si="6"/>
        <v>0</v>
      </c>
      <c r="G49" s="384"/>
      <c r="H49" s="385"/>
      <c r="I49" s="386">
        <f t="shared" si="47"/>
        <v>0</v>
      </c>
      <c r="J49" s="385"/>
      <c r="K49" s="385"/>
      <c r="L49" s="386">
        <f t="shared" si="48"/>
        <v>0</v>
      </c>
      <c r="M49" s="385"/>
      <c r="N49" s="385"/>
      <c r="O49" s="386">
        <f t="shared" si="49"/>
        <v>0</v>
      </c>
      <c r="P49" s="385">
        <v>0</v>
      </c>
      <c r="Q49" s="387">
        <v>0</v>
      </c>
      <c r="R49" s="388">
        <f t="shared" si="50"/>
        <v>0</v>
      </c>
      <c r="S49" s="385">
        <v>0</v>
      </c>
      <c r="T49" s="387">
        <v>0</v>
      </c>
      <c r="U49" s="388">
        <f t="shared" si="51"/>
        <v>0</v>
      </c>
      <c r="V49" s="385">
        <v>0</v>
      </c>
      <c r="W49" s="387">
        <v>0</v>
      </c>
      <c r="X49" s="388">
        <f t="shared" si="52"/>
        <v>0</v>
      </c>
      <c r="Y49" s="385">
        <v>0</v>
      </c>
      <c r="Z49" s="387">
        <v>0</v>
      </c>
      <c r="AA49" s="388">
        <f t="shared" si="53"/>
        <v>0</v>
      </c>
      <c r="AB49" s="385">
        <v>0</v>
      </c>
      <c r="AC49" s="387">
        <v>0</v>
      </c>
      <c r="AD49" s="388">
        <f t="shared" si="54"/>
        <v>0</v>
      </c>
      <c r="AE49" s="385">
        <v>0</v>
      </c>
      <c r="AF49" s="387">
        <v>0</v>
      </c>
      <c r="AG49" s="388">
        <f t="shared" si="55"/>
        <v>0</v>
      </c>
      <c r="AH49" s="385">
        <v>0</v>
      </c>
      <c r="AI49" s="387">
        <v>0</v>
      </c>
      <c r="AJ49" s="388">
        <f t="shared" si="56"/>
        <v>0</v>
      </c>
      <c r="AK49" s="385">
        <v>0</v>
      </c>
      <c r="AL49" s="387">
        <v>0</v>
      </c>
      <c r="AM49" s="388">
        <f t="shared" si="57"/>
        <v>0</v>
      </c>
      <c r="AN49" s="385">
        <v>0</v>
      </c>
      <c r="AO49" s="387">
        <v>0</v>
      </c>
      <c r="AP49" s="388">
        <f t="shared" si="58"/>
        <v>0</v>
      </c>
      <c r="AQ49" s="385">
        <v>0</v>
      </c>
      <c r="AR49" s="387">
        <v>0</v>
      </c>
      <c r="AS49" s="388">
        <f t="shared" si="59"/>
        <v>0</v>
      </c>
      <c r="AT49" s="385">
        <v>0</v>
      </c>
      <c r="AU49" s="387">
        <v>0</v>
      </c>
      <c r="AV49" s="388">
        <f t="shared" si="60"/>
        <v>0</v>
      </c>
      <c r="AW49" s="385">
        <v>0</v>
      </c>
      <c r="AX49" s="387">
        <v>0</v>
      </c>
      <c r="AY49" s="388">
        <f t="shared" si="43"/>
        <v>0</v>
      </c>
    </row>
    <row r="50" spans="1:52" ht="16">
      <c r="A50" s="797"/>
      <c r="B50" s="800"/>
      <c r="C50" s="24" t="s">
        <v>119</v>
      </c>
      <c r="D50" s="381">
        <f t="shared" si="4"/>
        <v>0</v>
      </c>
      <c r="E50" s="382">
        <f t="shared" si="5"/>
        <v>0</v>
      </c>
      <c r="F50" s="383">
        <f t="shared" si="6"/>
        <v>0</v>
      </c>
      <c r="G50" s="384"/>
      <c r="H50" s="385"/>
      <c r="I50" s="386">
        <f t="shared" si="47"/>
        <v>0</v>
      </c>
      <c r="J50" s="385"/>
      <c r="K50" s="385"/>
      <c r="L50" s="386">
        <f t="shared" si="48"/>
        <v>0</v>
      </c>
      <c r="M50" s="385"/>
      <c r="N50" s="385"/>
      <c r="O50" s="386">
        <f t="shared" si="49"/>
        <v>0</v>
      </c>
      <c r="P50" s="385">
        <v>0</v>
      </c>
      <c r="Q50" s="387">
        <v>0</v>
      </c>
      <c r="R50" s="388">
        <f t="shared" si="50"/>
        <v>0</v>
      </c>
      <c r="S50" s="385">
        <v>0</v>
      </c>
      <c r="T50" s="387">
        <v>0</v>
      </c>
      <c r="U50" s="388">
        <f t="shared" si="51"/>
        <v>0</v>
      </c>
      <c r="V50" s="385">
        <v>0</v>
      </c>
      <c r="W50" s="387">
        <v>0</v>
      </c>
      <c r="X50" s="388">
        <f t="shared" si="52"/>
        <v>0</v>
      </c>
      <c r="Y50" s="385">
        <v>0</v>
      </c>
      <c r="Z50" s="387">
        <v>0</v>
      </c>
      <c r="AA50" s="388">
        <f t="shared" si="53"/>
        <v>0</v>
      </c>
      <c r="AB50" s="385">
        <v>0</v>
      </c>
      <c r="AC50" s="387">
        <v>0</v>
      </c>
      <c r="AD50" s="388">
        <f t="shared" si="54"/>
        <v>0</v>
      </c>
      <c r="AE50" s="385">
        <v>0</v>
      </c>
      <c r="AF50" s="387">
        <v>0</v>
      </c>
      <c r="AG50" s="388">
        <f t="shared" si="55"/>
        <v>0</v>
      </c>
      <c r="AH50" s="385">
        <v>0</v>
      </c>
      <c r="AI50" s="387">
        <v>0</v>
      </c>
      <c r="AJ50" s="388">
        <f t="shared" si="56"/>
        <v>0</v>
      </c>
      <c r="AK50" s="385">
        <v>0</v>
      </c>
      <c r="AL50" s="387">
        <v>0</v>
      </c>
      <c r="AM50" s="388">
        <f t="shared" si="57"/>
        <v>0</v>
      </c>
      <c r="AN50" s="385">
        <v>0</v>
      </c>
      <c r="AO50" s="387">
        <v>0</v>
      </c>
      <c r="AP50" s="388">
        <f t="shared" si="58"/>
        <v>0</v>
      </c>
      <c r="AQ50" s="385">
        <v>0</v>
      </c>
      <c r="AR50" s="387">
        <v>0</v>
      </c>
      <c r="AS50" s="388">
        <f t="shared" si="59"/>
        <v>0</v>
      </c>
      <c r="AT50" s="385">
        <v>0</v>
      </c>
      <c r="AU50" s="387">
        <v>0</v>
      </c>
      <c r="AV50" s="388">
        <f t="shared" si="60"/>
        <v>0</v>
      </c>
      <c r="AW50" s="385">
        <v>0</v>
      </c>
      <c r="AX50" s="387">
        <v>0</v>
      </c>
      <c r="AY50" s="388">
        <f t="shared" si="43"/>
        <v>0</v>
      </c>
    </row>
    <row r="51" spans="1:52" ht="16">
      <c r="A51" s="797"/>
      <c r="B51" s="800"/>
      <c r="C51" s="24" t="s">
        <v>120</v>
      </c>
      <c r="D51" s="381">
        <f t="shared" si="4"/>
        <v>0</v>
      </c>
      <c r="E51" s="382">
        <f t="shared" si="5"/>
        <v>0</v>
      </c>
      <c r="F51" s="383">
        <f t="shared" si="6"/>
        <v>0</v>
      </c>
      <c r="G51" s="384"/>
      <c r="H51" s="385"/>
      <c r="I51" s="386">
        <f t="shared" si="47"/>
        <v>0</v>
      </c>
      <c r="J51" s="385"/>
      <c r="K51" s="385"/>
      <c r="L51" s="386">
        <f t="shared" si="48"/>
        <v>0</v>
      </c>
      <c r="M51" s="385"/>
      <c r="N51" s="385"/>
      <c r="O51" s="386">
        <f t="shared" si="49"/>
        <v>0</v>
      </c>
      <c r="P51" s="385">
        <v>0</v>
      </c>
      <c r="Q51" s="387">
        <v>0</v>
      </c>
      <c r="R51" s="388">
        <f t="shared" si="50"/>
        <v>0</v>
      </c>
      <c r="S51" s="385">
        <v>0</v>
      </c>
      <c r="T51" s="387">
        <v>0</v>
      </c>
      <c r="U51" s="388">
        <f t="shared" si="51"/>
        <v>0</v>
      </c>
      <c r="V51" s="385">
        <v>0</v>
      </c>
      <c r="W51" s="387">
        <v>0</v>
      </c>
      <c r="X51" s="388">
        <f t="shared" si="52"/>
        <v>0</v>
      </c>
      <c r="Y51" s="385">
        <v>0</v>
      </c>
      <c r="Z51" s="387">
        <v>0</v>
      </c>
      <c r="AA51" s="388">
        <f t="shared" si="53"/>
        <v>0</v>
      </c>
      <c r="AB51" s="385">
        <v>0</v>
      </c>
      <c r="AC51" s="387">
        <v>0</v>
      </c>
      <c r="AD51" s="388">
        <f t="shared" si="54"/>
        <v>0</v>
      </c>
      <c r="AE51" s="385">
        <v>0</v>
      </c>
      <c r="AF51" s="387">
        <v>0</v>
      </c>
      <c r="AG51" s="388">
        <f t="shared" si="55"/>
        <v>0</v>
      </c>
      <c r="AH51" s="385">
        <v>0</v>
      </c>
      <c r="AI51" s="387">
        <v>0</v>
      </c>
      <c r="AJ51" s="388">
        <f t="shared" si="56"/>
        <v>0</v>
      </c>
      <c r="AK51" s="385">
        <v>0</v>
      </c>
      <c r="AL51" s="387">
        <v>0</v>
      </c>
      <c r="AM51" s="388">
        <f t="shared" si="57"/>
        <v>0</v>
      </c>
      <c r="AN51" s="385">
        <v>0</v>
      </c>
      <c r="AO51" s="387">
        <v>0</v>
      </c>
      <c r="AP51" s="388">
        <f t="shared" si="58"/>
        <v>0</v>
      </c>
      <c r="AQ51" s="385">
        <v>0</v>
      </c>
      <c r="AR51" s="387">
        <v>0</v>
      </c>
      <c r="AS51" s="388">
        <f t="shared" si="59"/>
        <v>0</v>
      </c>
      <c r="AT51" s="385">
        <v>0</v>
      </c>
      <c r="AU51" s="387">
        <v>0</v>
      </c>
      <c r="AV51" s="388">
        <f t="shared" si="60"/>
        <v>0</v>
      </c>
      <c r="AW51" s="385">
        <v>0</v>
      </c>
      <c r="AX51" s="387">
        <v>0</v>
      </c>
      <c r="AY51" s="388">
        <f t="shared" si="43"/>
        <v>0</v>
      </c>
    </row>
    <row r="52" spans="1:52" ht="16">
      <c r="A52" s="797"/>
      <c r="B52" s="800"/>
      <c r="C52" s="24" t="s">
        <v>121</v>
      </c>
      <c r="D52" s="381">
        <f t="shared" si="4"/>
        <v>0</v>
      </c>
      <c r="E52" s="382">
        <f t="shared" si="5"/>
        <v>0</v>
      </c>
      <c r="F52" s="383">
        <f t="shared" si="6"/>
        <v>0</v>
      </c>
      <c r="G52" s="384"/>
      <c r="H52" s="385"/>
      <c r="I52" s="386">
        <f t="shared" si="47"/>
        <v>0</v>
      </c>
      <c r="J52" s="385"/>
      <c r="K52" s="385"/>
      <c r="L52" s="386">
        <f t="shared" si="48"/>
        <v>0</v>
      </c>
      <c r="M52" s="385"/>
      <c r="N52" s="385"/>
      <c r="O52" s="386">
        <f t="shared" si="49"/>
        <v>0</v>
      </c>
      <c r="P52" s="385">
        <v>0</v>
      </c>
      <c r="Q52" s="387">
        <v>0</v>
      </c>
      <c r="R52" s="388">
        <f t="shared" si="50"/>
        <v>0</v>
      </c>
      <c r="S52" s="385">
        <v>0</v>
      </c>
      <c r="T52" s="387">
        <v>0</v>
      </c>
      <c r="U52" s="388">
        <f t="shared" si="51"/>
        <v>0</v>
      </c>
      <c r="V52" s="385">
        <v>0</v>
      </c>
      <c r="W52" s="387">
        <v>0</v>
      </c>
      <c r="X52" s="388">
        <f t="shared" si="52"/>
        <v>0</v>
      </c>
      <c r="Y52" s="385">
        <v>0</v>
      </c>
      <c r="Z52" s="387">
        <v>0</v>
      </c>
      <c r="AA52" s="388">
        <f t="shared" si="53"/>
        <v>0</v>
      </c>
      <c r="AB52" s="385">
        <v>0</v>
      </c>
      <c r="AC52" s="387">
        <v>0</v>
      </c>
      <c r="AD52" s="388">
        <f t="shared" si="54"/>
        <v>0</v>
      </c>
      <c r="AE52" s="385">
        <v>0</v>
      </c>
      <c r="AF52" s="387">
        <v>0</v>
      </c>
      <c r="AG52" s="388">
        <f t="shared" si="55"/>
        <v>0</v>
      </c>
      <c r="AH52" s="385">
        <v>0</v>
      </c>
      <c r="AI52" s="387">
        <v>0</v>
      </c>
      <c r="AJ52" s="388">
        <f t="shared" si="56"/>
        <v>0</v>
      </c>
      <c r="AK52" s="385">
        <v>0</v>
      </c>
      <c r="AL52" s="387">
        <v>0</v>
      </c>
      <c r="AM52" s="388">
        <f t="shared" si="57"/>
        <v>0</v>
      </c>
      <c r="AN52" s="385">
        <v>0</v>
      </c>
      <c r="AO52" s="387">
        <v>0</v>
      </c>
      <c r="AP52" s="388">
        <f t="shared" si="58"/>
        <v>0</v>
      </c>
      <c r="AQ52" s="385">
        <v>0</v>
      </c>
      <c r="AR52" s="387">
        <v>0</v>
      </c>
      <c r="AS52" s="388">
        <f t="shared" si="59"/>
        <v>0</v>
      </c>
      <c r="AT52" s="385">
        <v>0</v>
      </c>
      <c r="AU52" s="387">
        <v>0</v>
      </c>
      <c r="AV52" s="388">
        <f t="shared" si="60"/>
        <v>0</v>
      </c>
      <c r="AW52" s="385">
        <v>0</v>
      </c>
      <c r="AX52" s="387">
        <v>0</v>
      </c>
      <c r="AY52" s="388">
        <f t="shared" si="43"/>
        <v>0</v>
      </c>
    </row>
    <row r="53" spans="1:52" ht="16">
      <c r="A53" s="797"/>
      <c r="B53" s="800"/>
      <c r="C53" s="24" t="s">
        <v>122</v>
      </c>
      <c r="D53" s="381">
        <f t="shared" si="4"/>
        <v>0</v>
      </c>
      <c r="E53" s="382">
        <f t="shared" si="5"/>
        <v>0</v>
      </c>
      <c r="F53" s="383">
        <f t="shared" si="6"/>
        <v>0</v>
      </c>
      <c r="G53" s="384"/>
      <c r="H53" s="385"/>
      <c r="I53" s="386">
        <f t="shared" si="47"/>
        <v>0</v>
      </c>
      <c r="J53" s="385"/>
      <c r="K53" s="385"/>
      <c r="L53" s="386">
        <f t="shared" si="48"/>
        <v>0</v>
      </c>
      <c r="M53" s="385"/>
      <c r="N53" s="385"/>
      <c r="O53" s="386">
        <f t="shared" si="49"/>
        <v>0</v>
      </c>
      <c r="P53" s="385">
        <v>0</v>
      </c>
      <c r="Q53" s="387">
        <v>0</v>
      </c>
      <c r="R53" s="388">
        <f t="shared" si="50"/>
        <v>0</v>
      </c>
      <c r="S53" s="385">
        <v>0</v>
      </c>
      <c r="T53" s="387">
        <v>0</v>
      </c>
      <c r="U53" s="388">
        <f t="shared" si="51"/>
        <v>0</v>
      </c>
      <c r="V53" s="385">
        <v>0</v>
      </c>
      <c r="W53" s="387">
        <v>0</v>
      </c>
      <c r="X53" s="388">
        <f t="shared" si="52"/>
        <v>0</v>
      </c>
      <c r="Y53" s="385">
        <v>0</v>
      </c>
      <c r="Z53" s="387">
        <v>0</v>
      </c>
      <c r="AA53" s="388">
        <f t="shared" si="53"/>
        <v>0</v>
      </c>
      <c r="AB53" s="385">
        <v>0</v>
      </c>
      <c r="AC53" s="387">
        <v>0</v>
      </c>
      <c r="AD53" s="388">
        <f t="shared" si="54"/>
        <v>0</v>
      </c>
      <c r="AE53" s="385">
        <v>0</v>
      </c>
      <c r="AF53" s="387">
        <v>0</v>
      </c>
      <c r="AG53" s="388">
        <f t="shared" si="55"/>
        <v>0</v>
      </c>
      <c r="AH53" s="385">
        <v>0</v>
      </c>
      <c r="AI53" s="387">
        <v>0</v>
      </c>
      <c r="AJ53" s="388">
        <f t="shared" si="56"/>
        <v>0</v>
      </c>
      <c r="AK53" s="385">
        <v>0</v>
      </c>
      <c r="AL53" s="387">
        <v>0</v>
      </c>
      <c r="AM53" s="388">
        <f t="shared" si="57"/>
        <v>0</v>
      </c>
      <c r="AN53" s="385">
        <v>0</v>
      </c>
      <c r="AO53" s="387">
        <v>0</v>
      </c>
      <c r="AP53" s="388">
        <f t="shared" si="58"/>
        <v>0</v>
      </c>
      <c r="AQ53" s="385">
        <v>0</v>
      </c>
      <c r="AR53" s="387">
        <v>0</v>
      </c>
      <c r="AS53" s="388">
        <f t="shared" si="59"/>
        <v>0</v>
      </c>
      <c r="AT53" s="385">
        <v>0</v>
      </c>
      <c r="AU53" s="387">
        <v>0</v>
      </c>
      <c r="AV53" s="388">
        <f t="shared" si="60"/>
        <v>0</v>
      </c>
      <c r="AW53" s="385">
        <v>0</v>
      </c>
      <c r="AX53" s="387">
        <v>0</v>
      </c>
      <c r="AY53" s="388">
        <f t="shared" si="43"/>
        <v>0</v>
      </c>
    </row>
    <row r="54" spans="1:52" ht="16">
      <c r="A54" s="797"/>
      <c r="B54" s="800"/>
      <c r="C54" s="24" t="s">
        <v>123</v>
      </c>
      <c r="D54" s="381">
        <f t="shared" si="4"/>
        <v>0</v>
      </c>
      <c r="E54" s="382">
        <f t="shared" si="5"/>
        <v>0</v>
      </c>
      <c r="F54" s="383">
        <f t="shared" si="6"/>
        <v>0</v>
      </c>
      <c r="G54" s="384"/>
      <c r="H54" s="385"/>
      <c r="I54" s="386">
        <f t="shared" si="47"/>
        <v>0</v>
      </c>
      <c r="J54" s="385"/>
      <c r="K54" s="385"/>
      <c r="L54" s="386">
        <f t="shared" si="48"/>
        <v>0</v>
      </c>
      <c r="M54" s="385"/>
      <c r="N54" s="385"/>
      <c r="O54" s="386">
        <f t="shared" si="49"/>
        <v>0</v>
      </c>
      <c r="P54" s="385">
        <v>0</v>
      </c>
      <c r="Q54" s="387">
        <v>0</v>
      </c>
      <c r="R54" s="388">
        <f t="shared" si="50"/>
        <v>0</v>
      </c>
      <c r="S54" s="385">
        <v>0</v>
      </c>
      <c r="T54" s="387">
        <v>0</v>
      </c>
      <c r="U54" s="388">
        <f t="shared" si="51"/>
        <v>0</v>
      </c>
      <c r="V54" s="385">
        <v>0</v>
      </c>
      <c r="W54" s="387">
        <v>0</v>
      </c>
      <c r="X54" s="388">
        <f t="shared" si="52"/>
        <v>0</v>
      </c>
      <c r="Y54" s="385">
        <v>0</v>
      </c>
      <c r="Z54" s="387">
        <v>0</v>
      </c>
      <c r="AA54" s="388">
        <f t="shared" si="53"/>
        <v>0</v>
      </c>
      <c r="AB54" s="385">
        <v>0</v>
      </c>
      <c r="AC54" s="387">
        <v>0</v>
      </c>
      <c r="AD54" s="388">
        <f t="shared" si="54"/>
        <v>0</v>
      </c>
      <c r="AE54" s="385">
        <v>0</v>
      </c>
      <c r="AF54" s="387">
        <v>0</v>
      </c>
      <c r="AG54" s="388">
        <f t="shared" si="55"/>
        <v>0</v>
      </c>
      <c r="AH54" s="385">
        <v>0</v>
      </c>
      <c r="AI54" s="387">
        <v>0</v>
      </c>
      <c r="AJ54" s="388">
        <f t="shared" si="56"/>
        <v>0</v>
      </c>
      <c r="AK54" s="385">
        <v>0</v>
      </c>
      <c r="AL54" s="387">
        <v>0</v>
      </c>
      <c r="AM54" s="388">
        <f t="shared" si="57"/>
        <v>0</v>
      </c>
      <c r="AN54" s="385">
        <v>0</v>
      </c>
      <c r="AO54" s="387">
        <v>0</v>
      </c>
      <c r="AP54" s="388">
        <f t="shared" si="58"/>
        <v>0</v>
      </c>
      <c r="AQ54" s="385">
        <v>0</v>
      </c>
      <c r="AR54" s="387">
        <v>0</v>
      </c>
      <c r="AS54" s="388">
        <f t="shared" si="59"/>
        <v>0</v>
      </c>
      <c r="AT54" s="385">
        <v>0</v>
      </c>
      <c r="AU54" s="387">
        <v>0</v>
      </c>
      <c r="AV54" s="388">
        <f t="shared" si="60"/>
        <v>0</v>
      </c>
      <c r="AW54" s="385">
        <v>0</v>
      </c>
      <c r="AX54" s="387">
        <v>0</v>
      </c>
      <c r="AY54" s="388">
        <f t="shared" si="43"/>
        <v>0</v>
      </c>
    </row>
    <row r="55" spans="1:52" ht="17" thickBot="1">
      <c r="A55" s="798"/>
      <c r="B55" s="801"/>
      <c r="C55" s="364" t="s">
        <v>124</v>
      </c>
      <c r="D55" s="389">
        <f t="shared" si="4"/>
        <v>0</v>
      </c>
      <c r="E55" s="390">
        <f t="shared" si="5"/>
        <v>0</v>
      </c>
      <c r="F55" s="391">
        <f t="shared" si="6"/>
        <v>0</v>
      </c>
      <c r="G55" s="392"/>
      <c r="H55" s="393"/>
      <c r="I55" s="394">
        <f>H55-G55</f>
        <v>0</v>
      </c>
      <c r="J55" s="393"/>
      <c r="K55" s="393"/>
      <c r="L55" s="394">
        <f>K55-J55</f>
        <v>0</v>
      </c>
      <c r="M55" s="393"/>
      <c r="N55" s="393"/>
      <c r="O55" s="394">
        <f>N55-M55</f>
        <v>0</v>
      </c>
      <c r="P55" s="393">
        <v>0</v>
      </c>
      <c r="Q55" s="395">
        <v>0</v>
      </c>
      <c r="R55" s="396">
        <f>Q55-P55</f>
        <v>0</v>
      </c>
      <c r="S55" s="393">
        <v>0</v>
      </c>
      <c r="T55" s="395">
        <v>0</v>
      </c>
      <c r="U55" s="396">
        <f>T55-S55</f>
        <v>0</v>
      </c>
      <c r="V55" s="393">
        <v>0</v>
      </c>
      <c r="W55" s="395">
        <v>0</v>
      </c>
      <c r="X55" s="396">
        <f>W55-V55</f>
        <v>0</v>
      </c>
      <c r="Y55" s="393">
        <v>0</v>
      </c>
      <c r="Z55" s="395">
        <v>0</v>
      </c>
      <c r="AA55" s="396">
        <f>Z55-Y55</f>
        <v>0</v>
      </c>
      <c r="AB55" s="393">
        <v>0</v>
      </c>
      <c r="AC55" s="395">
        <v>0</v>
      </c>
      <c r="AD55" s="396">
        <f>AC55-AB55</f>
        <v>0</v>
      </c>
      <c r="AE55" s="393">
        <v>0</v>
      </c>
      <c r="AF55" s="395">
        <v>0</v>
      </c>
      <c r="AG55" s="396">
        <f>AF55-AE55</f>
        <v>0</v>
      </c>
      <c r="AH55" s="393">
        <v>0</v>
      </c>
      <c r="AI55" s="395">
        <v>0</v>
      </c>
      <c r="AJ55" s="396">
        <f>AI55-AH55</f>
        <v>0</v>
      </c>
      <c r="AK55" s="393">
        <v>0</v>
      </c>
      <c r="AL55" s="395">
        <v>0</v>
      </c>
      <c r="AM55" s="396">
        <f>AL55-AK55</f>
        <v>0</v>
      </c>
      <c r="AN55" s="393">
        <v>0</v>
      </c>
      <c r="AO55" s="395">
        <v>0</v>
      </c>
      <c r="AP55" s="396">
        <f>AO55-AN55</f>
        <v>0</v>
      </c>
      <c r="AQ55" s="393">
        <v>0</v>
      </c>
      <c r="AR55" s="395">
        <v>0</v>
      </c>
      <c r="AS55" s="396">
        <f>AR55-AQ55</f>
        <v>0</v>
      </c>
      <c r="AT55" s="393">
        <v>0</v>
      </c>
      <c r="AU55" s="395">
        <v>0</v>
      </c>
      <c r="AV55" s="396">
        <f>AU55-AT55</f>
        <v>0</v>
      </c>
      <c r="AW55" s="393">
        <v>0</v>
      </c>
      <c r="AX55" s="395">
        <v>0</v>
      </c>
      <c r="AY55" s="396">
        <f>AX55-AW55</f>
        <v>0</v>
      </c>
    </row>
    <row r="56" spans="1:52" s="398" customFormat="1" ht="14.25" customHeight="1">
      <c r="A56" s="797" t="s">
        <v>99</v>
      </c>
      <c r="B56" s="800" t="s">
        <v>190</v>
      </c>
      <c r="C56" s="24" t="s">
        <v>115</v>
      </c>
      <c r="D56" s="347">
        <f t="shared" si="4"/>
        <v>0</v>
      </c>
      <c r="E56" s="348">
        <f t="shared" si="5"/>
        <v>0</v>
      </c>
      <c r="F56" s="349">
        <f t="shared" si="6"/>
        <v>0</v>
      </c>
      <c r="G56" s="350"/>
      <c r="H56" s="351"/>
      <c r="I56" s="352">
        <f t="shared" ref="I56:I65" si="61">H56-G56</f>
        <v>0</v>
      </c>
      <c r="J56" s="351"/>
      <c r="K56" s="351"/>
      <c r="L56" s="352">
        <f t="shared" ref="L56:L65" si="62">K56-J56</f>
        <v>0</v>
      </c>
      <c r="M56" s="351"/>
      <c r="N56" s="351"/>
      <c r="O56" s="352">
        <f t="shared" ref="O56:O65" si="63">N56-M56</f>
        <v>0</v>
      </c>
      <c r="P56" s="351"/>
      <c r="Q56" s="353"/>
      <c r="R56" s="354">
        <f t="shared" ref="R56:R65" si="64">Q56-P56</f>
        <v>0</v>
      </c>
      <c r="S56" s="351"/>
      <c r="T56" s="353"/>
      <c r="U56" s="354">
        <f t="shared" ref="U56:U65" si="65">T56-S56</f>
        <v>0</v>
      </c>
      <c r="V56" s="351"/>
      <c r="W56" s="353"/>
      <c r="X56" s="354">
        <f t="shared" ref="X56:X65" si="66">W56-V56</f>
        <v>0</v>
      </c>
      <c r="Y56" s="351"/>
      <c r="Z56" s="353"/>
      <c r="AA56" s="354">
        <f t="shared" ref="AA56:AA65" si="67">Z56-Y56</f>
        <v>0</v>
      </c>
      <c r="AB56" s="351"/>
      <c r="AC56" s="353"/>
      <c r="AD56" s="354">
        <f t="shared" ref="AD56:AD65" si="68">AC56-AB56</f>
        <v>0</v>
      </c>
      <c r="AE56" s="351"/>
      <c r="AF56" s="353"/>
      <c r="AG56" s="354">
        <f t="shared" ref="AG56:AG65" si="69">AF56-AE56</f>
        <v>0</v>
      </c>
      <c r="AH56" s="351"/>
      <c r="AI56" s="353"/>
      <c r="AJ56" s="354">
        <f t="shared" ref="AJ56:AJ65" si="70">AI56-AH56</f>
        <v>0</v>
      </c>
      <c r="AK56" s="351"/>
      <c r="AL56" s="353"/>
      <c r="AM56" s="354">
        <f t="shared" ref="AM56:AM65" si="71">AL56-AK56</f>
        <v>0</v>
      </c>
      <c r="AN56" s="351"/>
      <c r="AO56" s="353"/>
      <c r="AP56" s="354">
        <f t="shared" ref="AP56:AP65" si="72">AO56-AN56</f>
        <v>0</v>
      </c>
      <c r="AQ56" s="351"/>
      <c r="AR56" s="353"/>
      <c r="AS56" s="354">
        <f t="shared" ref="AS56:AS65" si="73">AR56-AQ56</f>
        <v>0</v>
      </c>
      <c r="AT56" s="351"/>
      <c r="AU56" s="353"/>
      <c r="AV56" s="354">
        <f t="shared" ref="AV56:AV65" si="74">AU56-AT56</f>
        <v>0</v>
      </c>
      <c r="AW56" s="351"/>
      <c r="AX56" s="353"/>
      <c r="AY56" s="354">
        <f t="shared" ref="AY56:AY65" si="75">AX56-AW56</f>
        <v>0</v>
      </c>
      <c r="AZ56" s="397"/>
    </row>
    <row r="57" spans="1:52" ht="16">
      <c r="A57" s="797"/>
      <c r="B57" s="800"/>
      <c r="C57" s="24" t="s">
        <v>116</v>
      </c>
      <c r="D57" s="356">
        <f t="shared" si="4"/>
        <v>0</v>
      </c>
      <c r="E57" s="357">
        <f t="shared" si="5"/>
        <v>0</v>
      </c>
      <c r="F57" s="358">
        <f t="shared" si="6"/>
        <v>0</v>
      </c>
      <c r="G57" s="359"/>
      <c r="H57" s="360"/>
      <c r="I57" s="361">
        <f t="shared" si="61"/>
        <v>0</v>
      </c>
      <c r="J57" s="360"/>
      <c r="K57" s="360"/>
      <c r="L57" s="361">
        <f t="shared" si="62"/>
        <v>0</v>
      </c>
      <c r="M57" s="360"/>
      <c r="N57" s="360"/>
      <c r="O57" s="361">
        <f t="shared" si="63"/>
        <v>0</v>
      </c>
      <c r="P57" s="360"/>
      <c r="Q57" s="362"/>
      <c r="R57" s="363">
        <f t="shared" si="64"/>
        <v>0</v>
      </c>
      <c r="S57" s="360"/>
      <c r="T57" s="362"/>
      <c r="U57" s="363">
        <f t="shared" si="65"/>
        <v>0</v>
      </c>
      <c r="V57" s="360"/>
      <c r="W57" s="362"/>
      <c r="X57" s="363">
        <f t="shared" si="66"/>
        <v>0</v>
      </c>
      <c r="Y57" s="360"/>
      <c r="Z57" s="362"/>
      <c r="AA57" s="363">
        <f t="shared" si="67"/>
        <v>0</v>
      </c>
      <c r="AB57" s="360"/>
      <c r="AC57" s="362"/>
      <c r="AD57" s="363">
        <f t="shared" si="68"/>
        <v>0</v>
      </c>
      <c r="AE57" s="360"/>
      <c r="AF57" s="362"/>
      <c r="AG57" s="363">
        <f t="shared" si="69"/>
        <v>0</v>
      </c>
      <c r="AH57" s="360"/>
      <c r="AI57" s="362"/>
      <c r="AJ57" s="363">
        <f t="shared" si="70"/>
        <v>0</v>
      </c>
      <c r="AK57" s="360"/>
      <c r="AL57" s="362"/>
      <c r="AM57" s="363">
        <f t="shared" si="71"/>
        <v>0</v>
      </c>
      <c r="AN57" s="360"/>
      <c r="AO57" s="362"/>
      <c r="AP57" s="363">
        <f t="shared" si="72"/>
        <v>0</v>
      </c>
      <c r="AQ57" s="360"/>
      <c r="AR57" s="362"/>
      <c r="AS57" s="363">
        <f t="shared" si="73"/>
        <v>0</v>
      </c>
      <c r="AT57" s="360"/>
      <c r="AU57" s="362"/>
      <c r="AV57" s="363">
        <f t="shared" si="74"/>
        <v>0</v>
      </c>
      <c r="AW57" s="360"/>
      <c r="AX57" s="362"/>
      <c r="AY57" s="363">
        <f t="shared" si="75"/>
        <v>0</v>
      </c>
    </row>
    <row r="58" spans="1:52" ht="16">
      <c r="A58" s="797"/>
      <c r="B58" s="800"/>
      <c r="C58" s="24" t="s">
        <v>117</v>
      </c>
      <c r="D58" s="356">
        <f t="shared" si="4"/>
        <v>0</v>
      </c>
      <c r="E58" s="357">
        <f t="shared" si="5"/>
        <v>0</v>
      </c>
      <c r="F58" s="358">
        <f t="shared" si="6"/>
        <v>0</v>
      </c>
      <c r="G58" s="359"/>
      <c r="H58" s="360"/>
      <c r="I58" s="361">
        <f t="shared" si="61"/>
        <v>0</v>
      </c>
      <c r="J58" s="360"/>
      <c r="K58" s="360"/>
      <c r="L58" s="361">
        <f t="shared" si="62"/>
        <v>0</v>
      </c>
      <c r="M58" s="360"/>
      <c r="N58" s="360"/>
      <c r="O58" s="361">
        <f t="shared" si="63"/>
        <v>0</v>
      </c>
      <c r="P58" s="360"/>
      <c r="Q58" s="362"/>
      <c r="R58" s="363">
        <f t="shared" si="64"/>
        <v>0</v>
      </c>
      <c r="S58" s="360"/>
      <c r="T58" s="362"/>
      <c r="U58" s="363">
        <f t="shared" si="65"/>
        <v>0</v>
      </c>
      <c r="V58" s="360"/>
      <c r="W58" s="362"/>
      <c r="X58" s="363">
        <f t="shared" si="66"/>
        <v>0</v>
      </c>
      <c r="Y58" s="360"/>
      <c r="Z58" s="362"/>
      <c r="AA58" s="363">
        <f t="shared" si="67"/>
        <v>0</v>
      </c>
      <c r="AB58" s="360"/>
      <c r="AC58" s="362"/>
      <c r="AD58" s="363">
        <f t="shared" si="68"/>
        <v>0</v>
      </c>
      <c r="AE58" s="360"/>
      <c r="AF58" s="362"/>
      <c r="AG58" s="363">
        <f t="shared" si="69"/>
        <v>0</v>
      </c>
      <c r="AH58" s="360"/>
      <c r="AI58" s="362"/>
      <c r="AJ58" s="363">
        <f t="shared" si="70"/>
        <v>0</v>
      </c>
      <c r="AK58" s="360"/>
      <c r="AL58" s="362"/>
      <c r="AM58" s="363">
        <f t="shared" si="71"/>
        <v>0</v>
      </c>
      <c r="AN58" s="360"/>
      <c r="AO58" s="362"/>
      <c r="AP58" s="363">
        <f t="shared" si="72"/>
        <v>0</v>
      </c>
      <c r="AQ58" s="360"/>
      <c r="AR58" s="362"/>
      <c r="AS58" s="363">
        <f t="shared" si="73"/>
        <v>0</v>
      </c>
      <c r="AT58" s="360"/>
      <c r="AU58" s="362"/>
      <c r="AV58" s="363">
        <f t="shared" si="74"/>
        <v>0</v>
      </c>
      <c r="AW58" s="360"/>
      <c r="AX58" s="362"/>
      <c r="AY58" s="363">
        <f t="shared" si="75"/>
        <v>0</v>
      </c>
    </row>
    <row r="59" spans="1:52" ht="16">
      <c r="A59" s="797"/>
      <c r="B59" s="800"/>
      <c r="C59" s="24" t="s">
        <v>118</v>
      </c>
      <c r="D59" s="356">
        <f t="shared" si="4"/>
        <v>0</v>
      </c>
      <c r="E59" s="357">
        <f t="shared" si="5"/>
        <v>0</v>
      </c>
      <c r="F59" s="358">
        <f t="shared" si="6"/>
        <v>0</v>
      </c>
      <c r="G59" s="359"/>
      <c r="H59" s="360"/>
      <c r="I59" s="361">
        <f t="shared" si="61"/>
        <v>0</v>
      </c>
      <c r="J59" s="360"/>
      <c r="K59" s="360"/>
      <c r="L59" s="361">
        <f t="shared" si="62"/>
        <v>0</v>
      </c>
      <c r="M59" s="360"/>
      <c r="N59" s="360"/>
      <c r="O59" s="361">
        <f t="shared" si="63"/>
        <v>0</v>
      </c>
      <c r="P59" s="360"/>
      <c r="Q59" s="362"/>
      <c r="R59" s="363">
        <f t="shared" si="64"/>
        <v>0</v>
      </c>
      <c r="S59" s="360"/>
      <c r="T59" s="362"/>
      <c r="U59" s="363">
        <f t="shared" si="65"/>
        <v>0</v>
      </c>
      <c r="V59" s="360"/>
      <c r="W59" s="362"/>
      <c r="X59" s="363">
        <f t="shared" si="66"/>
        <v>0</v>
      </c>
      <c r="Y59" s="360"/>
      <c r="Z59" s="362"/>
      <c r="AA59" s="363">
        <f t="shared" si="67"/>
        <v>0</v>
      </c>
      <c r="AB59" s="360"/>
      <c r="AC59" s="362"/>
      <c r="AD59" s="363">
        <f t="shared" si="68"/>
        <v>0</v>
      </c>
      <c r="AE59" s="360"/>
      <c r="AF59" s="362"/>
      <c r="AG59" s="363">
        <f t="shared" si="69"/>
        <v>0</v>
      </c>
      <c r="AH59" s="360"/>
      <c r="AI59" s="362"/>
      <c r="AJ59" s="363">
        <f t="shared" si="70"/>
        <v>0</v>
      </c>
      <c r="AK59" s="360"/>
      <c r="AL59" s="362"/>
      <c r="AM59" s="363">
        <f t="shared" si="71"/>
        <v>0</v>
      </c>
      <c r="AN59" s="360"/>
      <c r="AO59" s="362"/>
      <c r="AP59" s="363">
        <f t="shared" si="72"/>
        <v>0</v>
      </c>
      <c r="AQ59" s="360"/>
      <c r="AR59" s="362"/>
      <c r="AS59" s="363">
        <f t="shared" si="73"/>
        <v>0</v>
      </c>
      <c r="AT59" s="360"/>
      <c r="AU59" s="362"/>
      <c r="AV59" s="363">
        <f t="shared" si="74"/>
        <v>0</v>
      </c>
      <c r="AW59" s="360"/>
      <c r="AX59" s="362"/>
      <c r="AY59" s="363">
        <f t="shared" si="75"/>
        <v>0</v>
      </c>
    </row>
    <row r="60" spans="1:52" ht="16">
      <c r="A60" s="797"/>
      <c r="B60" s="800"/>
      <c r="C60" s="24" t="s">
        <v>119</v>
      </c>
      <c r="D60" s="356">
        <f t="shared" si="4"/>
        <v>0</v>
      </c>
      <c r="E60" s="357">
        <f t="shared" si="5"/>
        <v>0</v>
      </c>
      <c r="F60" s="358">
        <f t="shared" si="6"/>
        <v>0</v>
      </c>
      <c r="G60" s="359"/>
      <c r="H60" s="360"/>
      <c r="I60" s="361">
        <f t="shared" si="61"/>
        <v>0</v>
      </c>
      <c r="J60" s="360"/>
      <c r="K60" s="360"/>
      <c r="L60" s="361">
        <f t="shared" si="62"/>
        <v>0</v>
      </c>
      <c r="M60" s="360"/>
      <c r="N60" s="360"/>
      <c r="O60" s="361">
        <f t="shared" si="63"/>
        <v>0</v>
      </c>
      <c r="P60" s="360"/>
      <c r="Q60" s="362"/>
      <c r="R60" s="363">
        <f t="shared" si="64"/>
        <v>0</v>
      </c>
      <c r="S60" s="360"/>
      <c r="T60" s="362"/>
      <c r="U60" s="363">
        <f t="shared" si="65"/>
        <v>0</v>
      </c>
      <c r="V60" s="360"/>
      <c r="W60" s="362"/>
      <c r="X60" s="363">
        <f t="shared" si="66"/>
        <v>0</v>
      </c>
      <c r="Y60" s="360"/>
      <c r="Z60" s="362"/>
      <c r="AA60" s="363">
        <f t="shared" si="67"/>
        <v>0</v>
      </c>
      <c r="AB60" s="360"/>
      <c r="AC60" s="362"/>
      <c r="AD60" s="363">
        <f t="shared" si="68"/>
        <v>0</v>
      </c>
      <c r="AE60" s="360"/>
      <c r="AF60" s="362"/>
      <c r="AG60" s="363">
        <f t="shared" si="69"/>
        <v>0</v>
      </c>
      <c r="AH60" s="360"/>
      <c r="AI60" s="362"/>
      <c r="AJ60" s="363">
        <f t="shared" si="70"/>
        <v>0</v>
      </c>
      <c r="AK60" s="360"/>
      <c r="AL60" s="362"/>
      <c r="AM60" s="363">
        <f t="shared" si="71"/>
        <v>0</v>
      </c>
      <c r="AN60" s="360"/>
      <c r="AO60" s="362"/>
      <c r="AP60" s="363">
        <f t="shared" si="72"/>
        <v>0</v>
      </c>
      <c r="AQ60" s="360"/>
      <c r="AR60" s="362"/>
      <c r="AS60" s="363">
        <f t="shared" si="73"/>
        <v>0</v>
      </c>
      <c r="AT60" s="360"/>
      <c r="AU60" s="362"/>
      <c r="AV60" s="363">
        <f t="shared" si="74"/>
        <v>0</v>
      </c>
      <c r="AW60" s="360"/>
      <c r="AX60" s="362"/>
      <c r="AY60" s="363">
        <f t="shared" si="75"/>
        <v>0</v>
      </c>
    </row>
    <row r="61" spans="1:52" ht="16">
      <c r="A61" s="797"/>
      <c r="B61" s="800"/>
      <c r="C61" s="24" t="s">
        <v>120</v>
      </c>
      <c r="D61" s="356">
        <f t="shared" si="4"/>
        <v>0</v>
      </c>
      <c r="E61" s="357">
        <f t="shared" si="5"/>
        <v>0</v>
      </c>
      <c r="F61" s="358">
        <f t="shared" si="6"/>
        <v>0</v>
      </c>
      <c r="G61" s="359"/>
      <c r="H61" s="360"/>
      <c r="I61" s="361">
        <f t="shared" si="61"/>
        <v>0</v>
      </c>
      <c r="J61" s="360"/>
      <c r="K61" s="360"/>
      <c r="L61" s="361">
        <f t="shared" si="62"/>
        <v>0</v>
      </c>
      <c r="M61" s="360"/>
      <c r="N61" s="360"/>
      <c r="O61" s="361">
        <f t="shared" si="63"/>
        <v>0</v>
      </c>
      <c r="P61" s="360"/>
      <c r="Q61" s="362"/>
      <c r="R61" s="363">
        <f t="shared" si="64"/>
        <v>0</v>
      </c>
      <c r="S61" s="360"/>
      <c r="T61" s="362"/>
      <c r="U61" s="363">
        <f t="shared" si="65"/>
        <v>0</v>
      </c>
      <c r="V61" s="360"/>
      <c r="W61" s="362"/>
      <c r="X61" s="363">
        <f t="shared" si="66"/>
        <v>0</v>
      </c>
      <c r="Y61" s="360"/>
      <c r="Z61" s="362"/>
      <c r="AA61" s="363">
        <f t="shared" si="67"/>
        <v>0</v>
      </c>
      <c r="AB61" s="360"/>
      <c r="AC61" s="362"/>
      <c r="AD61" s="363">
        <f t="shared" si="68"/>
        <v>0</v>
      </c>
      <c r="AE61" s="360"/>
      <c r="AF61" s="362"/>
      <c r="AG61" s="363">
        <f t="shared" si="69"/>
        <v>0</v>
      </c>
      <c r="AH61" s="360"/>
      <c r="AI61" s="362"/>
      <c r="AJ61" s="363">
        <f t="shared" si="70"/>
        <v>0</v>
      </c>
      <c r="AK61" s="360"/>
      <c r="AL61" s="362"/>
      <c r="AM61" s="363">
        <f t="shared" si="71"/>
        <v>0</v>
      </c>
      <c r="AN61" s="360"/>
      <c r="AO61" s="362"/>
      <c r="AP61" s="363">
        <f t="shared" si="72"/>
        <v>0</v>
      </c>
      <c r="AQ61" s="360"/>
      <c r="AR61" s="362"/>
      <c r="AS61" s="363">
        <f t="shared" si="73"/>
        <v>0</v>
      </c>
      <c r="AT61" s="360"/>
      <c r="AU61" s="362"/>
      <c r="AV61" s="363">
        <f t="shared" si="74"/>
        <v>0</v>
      </c>
      <c r="AW61" s="360"/>
      <c r="AX61" s="362"/>
      <c r="AY61" s="363">
        <f t="shared" si="75"/>
        <v>0</v>
      </c>
    </row>
    <row r="62" spans="1:52" ht="16">
      <c r="A62" s="797"/>
      <c r="B62" s="800"/>
      <c r="C62" s="24" t="s">
        <v>121</v>
      </c>
      <c r="D62" s="356">
        <f t="shared" si="4"/>
        <v>0</v>
      </c>
      <c r="E62" s="357">
        <f t="shared" si="5"/>
        <v>0</v>
      </c>
      <c r="F62" s="358">
        <f t="shared" si="6"/>
        <v>0</v>
      </c>
      <c r="G62" s="359"/>
      <c r="H62" s="360"/>
      <c r="I62" s="361">
        <f t="shared" si="61"/>
        <v>0</v>
      </c>
      <c r="J62" s="360"/>
      <c r="K62" s="360"/>
      <c r="L62" s="361">
        <f t="shared" si="62"/>
        <v>0</v>
      </c>
      <c r="M62" s="360"/>
      <c r="N62" s="360"/>
      <c r="O62" s="361">
        <f t="shared" si="63"/>
        <v>0</v>
      </c>
      <c r="P62" s="360"/>
      <c r="Q62" s="362"/>
      <c r="R62" s="363">
        <f t="shared" si="64"/>
        <v>0</v>
      </c>
      <c r="S62" s="360"/>
      <c r="T62" s="362"/>
      <c r="U62" s="363">
        <f t="shared" si="65"/>
        <v>0</v>
      </c>
      <c r="V62" s="360"/>
      <c r="W62" s="362"/>
      <c r="X62" s="363">
        <f t="shared" si="66"/>
        <v>0</v>
      </c>
      <c r="Y62" s="360"/>
      <c r="Z62" s="362"/>
      <c r="AA62" s="363">
        <f t="shared" si="67"/>
        <v>0</v>
      </c>
      <c r="AB62" s="360"/>
      <c r="AC62" s="362"/>
      <c r="AD62" s="363">
        <f t="shared" si="68"/>
        <v>0</v>
      </c>
      <c r="AE62" s="360"/>
      <c r="AF62" s="362"/>
      <c r="AG62" s="363">
        <f t="shared" si="69"/>
        <v>0</v>
      </c>
      <c r="AH62" s="360"/>
      <c r="AI62" s="362"/>
      <c r="AJ62" s="363">
        <f t="shared" si="70"/>
        <v>0</v>
      </c>
      <c r="AK62" s="360"/>
      <c r="AL62" s="362"/>
      <c r="AM62" s="363">
        <f t="shared" si="71"/>
        <v>0</v>
      </c>
      <c r="AN62" s="360"/>
      <c r="AO62" s="362"/>
      <c r="AP62" s="363">
        <f t="shared" si="72"/>
        <v>0</v>
      </c>
      <c r="AQ62" s="360"/>
      <c r="AR62" s="362"/>
      <c r="AS62" s="363">
        <f t="shared" si="73"/>
        <v>0</v>
      </c>
      <c r="AT62" s="360"/>
      <c r="AU62" s="362"/>
      <c r="AV62" s="363">
        <f t="shared" si="74"/>
        <v>0</v>
      </c>
      <c r="AW62" s="360"/>
      <c r="AX62" s="362"/>
      <c r="AY62" s="363">
        <f t="shared" si="75"/>
        <v>0</v>
      </c>
    </row>
    <row r="63" spans="1:52" ht="16">
      <c r="A63" s="797"/>
      <c r="B63" s="800"/>
      <c r="C63" s="24" t="s">
        <v>122</v>
      </c>
      <c r="D63" s="356">
        <f t="shared" si="4"/>
        <v>0</v>
      </c>
      <c r="E63" s="357">
        <f t="shared" si="5"/>
        <v>0</v>
      </c>
      <c r="F63" s="358">
        <f t="shared" si="6"/>
        <v>0</v>
      </c>
      <c r="G63" s="359"/>
      <c r="H63" s="360"/>
      <c r="I63" s="361">
        <f t="shared" si="61"/>
        <v>0</v>
      </c>
      <c r="J63" s="360"/>
      <c r="K63" s="360"/>
      <c r="L63" s="361">
        <f t="shared" si="62"/>
        <v>0</v>
      </c>
      <c r="M63" s="360"/>
      <c r="N63" s="360"/>
      <c r="O63" s="361">
        <f t="shared" si="63"/>
        <v>0</v>
      </c>
      <c r="P63" s="360"/>
      <c r="Q63" s="362"/>
      <c r="R63" s="363">
        <f t="shared" si="64"/>
        <v>0</v>
      </c>
      <c r="S63" s="360"/>
      <c r="T63" s="362"/>
      <c r="U63" s="363">
        <f t="shared" si="65"/>
        <v>0</v>
      </c>
      <c r="V63" s="360"/>
      <c r="W63" s="362"/>
      <c r="X63" s="363">
        <f t="shared" si="66"/>
        <v>0</v>
      </c>
      <c r="Y63" s="360"/>
      <c r="Z63" s="362"/>
      <c r="AA63" s="363">
        <f t="shared" si="67"/>
        <v>0</v>
      </c>
      <c r="AB63" s="360"/>
      <c r="AC63" s="362"/>
      <c r="AD63" s="363">
        <f t="shared" si="68"/>
        <v>0</v>
      </c>
      <c r="AE63" s="360"/>
      <c r="AF63" s="362"/>
      <c r="AG63" s="363">
        <f t="shared" si="69"/>
        <v>0</v>
      </c>
      <c r="AH63" s="360"/>
      <c r="AI63" s="362"/>
      <c r="AJ63" s="363">
        <f t="shared" si="70"/>
        <v>0</v>
      </c>
      <c r="AK63" s="360"/>
      <c r="AL63" s="362"/>
      <c r="AM63" s="363">
        <f t="shared" si="71"/>
        <v>0</v>
      </c>
      <c r="AN63" s="360"/>
      <c r="AO63" s="362"/>
      <c r="AP63" s="363">
        <f t="shared" si="72"/>
        <v>0</v>
      </c>
      <c r="AQ63" s="360"/>
      <c r="AR63" s="362"/>
      <c r="AS63" s="363">
        <f t="shared" si="73"/>
        <v>0</v>
      </c>
      <c r="AT63" s="360"/>
      <c r="AU63" s="362"/>
      <c r="AV63" s="363">
        <f t="shared" si="74"/>
        <v>0</v>
      </c>
      <c r="AW63" s="360"/>
      <c r="AX63" s="362"/>
      <c r="AY63" s="363">
        <f t="shared" si="75"/>
        <v>0</v>
      </c>
    </row>
    <row r="64" spans="1:52" ht="16">
      <c r="A64" s="797"/>
      <c r="B64" s="800"/>
      <c r="C64" s="24" t="s">
        <v>123</v>
      </c>
      <c r="D64" s="356">
        <f t="shared" si="4"/>
        <v>0</v>
      </c>
      <c r="E64" s="357">
        <f t="shared" si="5"/>
        <v>0</v>
      </c>
      <c r="F64" s="358">
        <f t="shared" si="6"/>
        <v>0</v>
      </c>
      <c r="G64" s="359"/>
      <c r="H64" s="360"/>
      <c r="I64" s="361">
        <f t="shared" si="61"/>
        <v>0</v>
      </c>
      <c r="J64" s="360"/>
      <c r="K64" s="360"/>
      <c r="L64" s="361">
        <f t="shared" si="62"/>
        <v>0</v>
      </c>
      <c r="M64" s="360"/>
      <c r="N64" s="360"/>
      <c r="O64" s="361">
        <f t="shared" si="63"/>
        <v>0</v>
      </c>
      <c r="P64" s="360"/>
      <c r="Q64" s="362"/>
      <c r="R64" s="363">
        <f t="shared" si="64"/>
        <v>0</v>
      </c>
      <c r="S64" s="360"/>
      <c r="T64" s="362"/>
      <c r="U64" s="363">
        <f t="shared" si="65"/>
        <v>0</v>
      </c>
      <c r="V64" s="360"/>
      <c r="W64" s="362"/>
      <c r="X64" s="363">
        <f t="shared" si="66"/>
        <v>0</v>
      </c>
      <c r="Y64" s="360"/>
      <c r="Z64" s="362"/>
      <c r="AA64" s="363">
        <f t="shared" si="67"/>
        <v>0</v>
      </c>
      <c r="AB64" s="360"/>
      <c r="AC64" s="362"/>
      <c r="AD64" s="363">
        <f t="shared" si="68"/>
        <v>0</v>
      </c>
      <c r="AE64" s="360"/>
      <c r="AF64" s="362"/>
      <c r="AG64" s="363">
        <f t="shared" si="69"/>
        <v>0</v>
      </c>
      <c r="AH64" s="360"/>
      <c r="AI64" s="362"/>
      <c r="AJ64" s="363">
        <f t="shared" si="70"/>
        <v>0</v>
      </c>
      <c r="AK64" s="360"/>
      <c r="AL64" s="362"/>
      <c r="AM64" s="363">
        <f t="shared" si="71"/>
        <v>0</v>
      </c>
      <c r="AN64" s="360"/>
      <c r="AO64" s="362"/>
      <c r="AP64" s="363">
        <f t="shared" si="72"/>
        <v>0</v>
      </c>
      <c r="AQ64" s="360"/>
      <c r="AR64" s="362"/>
      <c r="AS64" s="363">
        <f t="shared" si="73"/>
        <v>0</v>
      </c>
      <c r="AT64" s="360"/>
      <c r="AU64" s="362"/>
      <c r="AV64" s="363">
        <f t="shared" si="74"/>
        <v>0</v>
      </c>
      <c r="AW64" s="360"/>
      <c r="AX64" s="362"/>
      <c r="AY64" s="363">
        <f t="shared" si="75"/>
        <v>0</v>
      </c>
    </row>
    <row r="65" spans="1:52" s="400" customFormat="1" ht="17" thickBot="1">
      <c r="A65" s="798"/>
      <c r="B65" s="801"/>
      <c r="C65" s="364" t="s">
        <v>124</v>
      </c>
      <c r="D65" s="365">
        <f t="shared" si="4"/>
        <v>0</v>
      </c>
      <c r="E65" s="366">
        <f t="shared" si="5"/>
        <v>0</v>
      </c>
      <c r="F65" s="367">
        <f t="shared" si="6"/>
        <v>0</v>
      </c>
      <c r="G65" s="368"/>
      <c r="H65" s="369"/>
      <c r="I65" s="370">
        <f t="shared" si="61"/>
        <v>0</v>
      </c>
      <c r="J65" s="369"/>
      <c r="K65" s="369"/>
      <c r="L65" s="370">
        <f t="shared" si="62"/>
        <v>0</v>
      </c>
      <c r="M65" s="369"/>
      <c r="N65" s="369"/>
      <c r="O65" s="370">
        <f t="shared" si="63"/>
        <v>0</v>
      </c>
      <c r="P65" s="369"/>
      <c r="Q65" s="371"/>
      <c r="R65" s="372">
        <f t="shared" si="64"/>
        <v>0</v>
      </c>
      <c r="S65" s="369"/>
      <c r="T65" s="371"/>
      <c r="U65" s="372">
        <f t="shared" si="65"/>
        <v>0</v>
      </c>
      <c r="V65" s="369"/>
      <c r="W65" s="371"/>
      <c r="X65" s="372">
        <f t="shared" si="66"/>
        <v>0</v>
      </c>
      <c r="Y65" s="369"/>
      <c r="Z65" s="371"/>
      <c r="AA65" s="372">
        <f t="shared" si="67"/>
        <v>0</v>
      </c>
      <c r="AB65" s="369"/>
      <c r="AC65" s="371"/>
      <c r="AD65" s="372">
        <f t="shared" si="68"/>
        <v>0</v>
      </c>
      <c r="AE65" s="369"/>
      <c r="AF65" s="371"/>
      <c r="AG65" s="372">
        <f t="shared" si="69"/>
        <v>0</v>
      </c>
      <c r="AH65" s="369"/>
      <c r="AI65" s="371"/>
      <c r="AJ65" s="372">
        <f t="shared" si="70"/>
        <v>0</v>
      </c>
      <c r="AK65" s="369"/>
      <c r="AL65" s="371"/>
      <c r="AM65" s="372">
        <f t="shared" si="71"/>
        <v>0</v>
      </c>
      <c r="AN65" s="369"/>
      <c r="AO65" s="371"/>
      <c r="AP65" s="372">
        <f t="shared" si="72"/>
        <v>0</v>
      </c>
      <c r="AQ65" s="369"/>
      <c r="AR65" s="371"/>
      <c r="AS65" s="372">
        <f t="shared" si="73"/>
        <v>0</v>
      </c>
      <c r="AT65" s="369"/>
      <c r="AU65" s="371"/>
      <c r="AV65" s="372">
        <f t="shared" si="74"/>
        <v>0</v>
      </c>
      <c r="AW65" s="369"/>
      <c r="AX65" s="371"/>
      <c r="AY65" s="372">
        <f t="shared" si="75"/>
        <v>0</v>
      </c>
      <c r="AZ65" s="399"/>
    </row>
    <row r="66" spans="1:52" ht="16" thickBot="1">
      <c r="A66" s="401"/>
      <c r="B66" s="402"/>
      <c r="C66" s="403"/>
      <c r="D66" s="402">
        <f t="shared" si="4"/>
        <v>0</v>
      </c>
      <c r="E66" s="402">
        <f t="shared" si="5"/>
        <v>0</v>
      </c>
      <c r="F66" s="404">
        <f t="shared" si="6"/>
        <v>0</v>
      </c>
      <c r="G66" s="405"/>
      <c r="H66" s="405"/>
      <c r="I66" s="406"/>
      <c r="J66" s="405"/>
      <c r="K66" s="405"/>
      <c r="L66" s="406"/>
      <c r="M66" s="405"/>
      <c r="N66" s="405"/>
      <c r="O66" s="406"/>
      <c r="P66" s="405"/>
      <c r="Q66" s="407"/>
      <c r="R66" s="408"/>
      <c r="S66" s="405"/>
      <c r="T66" s="407"/>
      <c r="U66" s="408"/>
      <c r="V66" s="405"/>
      <c r="W66" s="407"/>
      <c r="X66" s="408"/>
      <c r="Y66" s="405"/>
      <c r="Z66" s="407"/>
      <c r="AA66" s="408"/>
      <c r="AB66" s="405"/>
      <c r="AC66" s="407"/>
      <c r="AD66" s="408"/>
      <c r="AE66" s="405"/>
      <c r="AF66" s="407"/>
      <c r="AG66" s="408"/>
      <c r="AH66" s="405"/>
      <c r="AI66" s="407"/>
      <c r="AJ66" s="408"/>
      <c r="AK66" s="405"/>
      <c r="AL66" s="407"/>
      <c r="AM66" s="408"/>
      <c r="AN66" s="405"/>
      <c r="AO66" s="407"/>
      <c r="AP66" s="408"/>
      <c r="AQ66" s="405"/>
      <c r="AR66" s="407"/>
      <c r="AS66" s="408"/>
      <c r="AT66" s="405"/>
      <c r="AU66" s="407"/>
      <c r="AV66" s="408"/>
      <c r="AW66" s="405"/>
      <c r="AX66" s="407"/>
      <c r="AY66" s="408"/>
    </row>
    <row r="67" spans="1:52" ht="16">
      <c r="A67" s="806" t="s">
        <v>187</v>
      </c>
      <c r="B67" s="808" t="s">
        <v>188</v>
      </c>
      <c r="C67" s="409" t="s">
        <v>115</v>
      </c>
      <c r="D67" s="410">
        <f t="shared" si="4"/>
        <v>1441674</v>
      </c>
      <c r="E67" s="411">
        <f t="shared" si="5"/>
        <v>1441674</v>
      </c>
      <c r="F67" s="412">
        <f t="shared" si="6"/>
        <v>0</v>
      </c>
      <c r="G67" s="413">
        <f t="shared" ref="G67:G76" si="76">G6</f>
        <v>240000</v>
      </c>
      <c r="H67" s="414">
        <f t="shared" ref="H67:H76" si="77">H6*(1+$AZ$67)</f>
        <v>240000</v>
      </c>
      <c r="I67" s="415">
        <f>H67-G67</f>
        <v>0</v>
      </c>
      <c r="J67" s="414">
        <f t="shared" ref="J67:J76" si="78">J6</f>
        <v>2100</v>
      </c>
      <c r="K67" s="414">
        <f t="shared" ref="K67:K76" si="79">K6*(1+$AZ$67)</f>
        <v>2100</v>
      </c>
      <c r="L67" s="415">
        <f t="shared" ref="L67:L76" si="80">K67-J67</f>
        <v>0</v>
      </c>
      <c r="M67" s="414">
        <f t="shared" ref="M67:M76" si="81">M6</f>
        <v>979999.99999999988</v>
      </c>
      <c r="N67" s="414">
        <f t="shared" ref="N67:N76" si="82">N6*(1+$AZ$67)</f>
        <v>979999.99999999988</v>
      </c>
      <c r="O67" s="415">
        <f t="shared" ref="O67:O76" si="83">N67-M67</f>
        <v>0</v>
      </c>
      <c r="P67" s="414">
        <f t="shared" ref="P67:P76" si="84">P6</f>
        <v>3000</v>
      </c>
      <c r="Q67" s="416">
        <f t="shared" ref="Q67:Q76" si="85">Q6*(1+$AZ$67)</f>
        <v>3000</v>
      </c>
      <c r="R67" s="417">
        <f t="shared" ref="R67:R76" si="86">Q67-P67</f>
        <v>0</v>
      </c>
      <c r="S67" s="414">
        <f t="shared" ref="S67:S76" si="87">S6</f>
        <v>210000</v>
      </c>
      <c r="T67" s="416">
        <f t="shared" ref="T67:T76" si="88">T6*(1+$AZ$67)</f>
        <v>210000</v>
      </c>
      <c r="U67" s="417">
        <f t="shared" ref="U67:U76" si="89">T67-S67</f>
        <v>0</v>
      </c>
      <c r="V67" s="414">
        <f t="shared" ref="V67:V76" si="90">V6</f>
        <v>900</v>
      </c>
      <c r="W67" s="416">
        <f t="shared" ref="W67:W76" si="91">W6*(1+$AZ$67)</f>
        <v>900</v>
      </c>
      <c r="X67" s="417">
        <f t="shared" ref="X67:X76" si="92">W67-V67</f>
        <v>0</v>
      </c>
      <c r="Y67" s="414">
        <f t="shared" ref="Y67:Y76" si="93">Y6</f>
        <v>600</v>
      </c>
      <c r="Z67" s="416">
        <f t="shared" ref="Z67:Z76" si="94">Z6*(1+$AZ$67)</f>
        <v>600</v>
      </c>
      <c r="AA67" s="417">
        <f t="shared" ref="AA67:AA76" si="95">Z67-Y67</f>
        <v>0</v>
      </c>
      <c r="AB67" s="414">
        <f t="shared" ref="AB67:AB76" si="96">AB6</f>
        <v>1519</v>
      </c>
      <c r="AC67" s="416">
        <f t="shared" ref="AC67:AC76" si="97">AC6*(1+$AZ$67)</f>
        <v>1519</v>
      </c>
      <c r="AD67" s="417">
        <f t="shared" ref="AD67:AD76" si="98">AC67-AB67</f>
        <v>0</v>
      </c>
      <c r="AE67" s="414">
        <f t="shared" ref="AE67:AE76" si="99">AE6</f>
        <v>5</v>
      </c>
      <c r="AF67" s="416">
        <f t="shared" ref="AF67:AF76" si="100">AF6*(1+$AZ$67)</f>
        <v>5</v>
      </c>
      <c r="AG67" s="417">
        <f t="shared" ref="AG67:AG76" si="101">AF67-AE67</f>
        <v>0</v>
      </c>
      <c r="AH67" s="414">
        <f t="shared" ref="AH67:AH76" si="102">AH6</f>
        <v>250</v>
      </c>
      <c r="AI67" s="416">
        <f t="shared" ref="AI67:AI76" si="103">AI6*(1+$AZ$67)</f>
        <v>250</v>
      </c>
      <c r="AJ67" s="417">
        <f t="shared" ref="AJ67:AJ76" si="104">AI67-AH67</f>
        <v>0</v>
      </c>
      <c r="AK67" s="414">
        <f t="shared" ref="AK67:AK76" si="105">AK6</f>
        <v>450</v>
      </c>
      <c r="AL67" s="416">
        <f t="shared" ref="AL67:AL76" si="106">AL6*(1+$AZ$67)</f>
        <v>450</v>
      </c>
      <c r="AM67" s="417">
        <f t="shared" ref="AM67:AM76" si="107">AL67-AK67</f>
        <v>0</v>
      </c>
      <c r="AN67" s="414">
        <f t="shared" ref="AN67:AN76" si="108">AN6</f>
        <v>550</v>
      </c>
      <c r="AO67" s="416">
        <f t="shared" ref="AO67:AO76" si="109">AO6*(1+$AZ$67)</f>
        <v>550</v>
      </c>
      <c r="AP67" s="417">
        <f t="shared" ref="AP67:AP76" si="110">AO67-AN67</f>
        <v>0</v>
      </c>
      <c r="AQ67" s="414">
        <f t="shared" ref="AQ67:AQ76" si="111">AQ6</f>
        <v>350</v>
      </c>
      <c r="AR67" s="416">
        <f t="shared" ref="AR67:AR76" si="112">AR6*(1+$AZ$67)</f>
        <v>350</v>
      </c>
      <c r="AS67" s="417">
        <f t="shared" ref="AS67:AS76" si="113">AR67-AQ67</f>
        <v>0</v>
      </c>
      <c r="AT67" s="414">
        <f t="shared" ref="AT67:AT76" si="114">AT6</f>
        <v>750</v>
      </c>
      <c r="AU67" s="416">
        <f t="shared" ref="AU67:AU76" si="115">AU6*(1+$AZ$67)</f>
        <v>750</v>
      </c>
      <c r="AV67" s="417">
        <f t="shared" ref="AV67:AV76" si="116">AU67-AT67</f>
        <v>0</v>
      </c>
      <c r="AW67" s="414">
        <f t="shared" ref="AW67:AW76" si="117">AW6</f>
        <v>1200</v>
      </c>
      <c r="AX67" s="416">
        <f t="shared" ref="AX67:AX76" si="118">AX6*(1+$AZ$67)</f>
        <v>1200</v>
      </c>
      <c r="AY67" s="417">
        <f t="shared" ref="AY67:AY76" si="119">AX67-AW67</f>
        <v>0</v>
      </c>
      <c r="AZ67" s="418">
        <f>'Analyza citlivosti - AgendovéIS'!K7</f>
        <v>0</v>
      </c>
    </row>
    <row r="68" spans="1:52" ht="16">
      <c r="A68" s="806"/>
      <c r="B68" s="808"/>
      <c r="C68" s="409" t="s">
        <v>116</v>
      </c>
      <c r="D68" s="410">
        <f t="shared" si="4"/>
        <v>1441674</v>
      </c>
      <c r="E68" s="411">
        <f t="shared" si="5"/>
        <v>1441674</v>
      </c>
      <c r="F68" s="412">
        <f t="shared" si="6"/>
        <v>0</v>
      </c>
      <c r="G68" s="419">
        <f t="shared" si="76"/>
        <v>240000</v>
      </c>
      <c r="H68" s="420">
        <f t="shared" si="77"/>
        <v>240000</v>
      </c>
      <c r="I68" s="361">
        <f t="shared" ref="I68:I76" si="120">H68-G68</f>
        <v>0</v>
      </c>
      <c r="J68" s="420">
        <f t="shared" si="78"/>
        <v>2100</v>
      </c>
      <c r="K68" s="420">
        <f t="shared" si="79"/>
        <v>2100</v>
      </c>
      <c r="L68" s="361">
        <f t="shared" si="80"/>
        <v>0</v>
      </c>
      <c r="M68" s="420">
        <f t="shared" si="81"/>
        <v>979999.99999999988</v>
      </c>
      <c r="N68" s="420">
        <f t="shared" si="82"/>
        <v>979999.99999999988</v>
      </c>
      <c r="O68" s="361">
        <f t="shared" si="83"/>
        <v>0</v>
      </c>
      <c r="P68" s="420">
        <f t="shared" si="84"/>
        <v>3000</v>
      </c>
      <c r="Q68" s="421">
        <f t="shared" si="85"/>
        <v>3000</v>
      </c>
      <c r="R68" s="363">
        <f t="shared" si="86"/>
        <v>0</v>
      </c>
      <c r="S68" s="420">
        <f t="shared" si="87"/>
        <v>210000</v>
      </c>
      <c r="T68" s="421">
        <f t="shared" si="88"/>
        <v>210000</v>
      </c>
      <c r="U68" s="363">
        <f t="shared" si="89"/>
        <v>0</v>
      </c>
      <c r="V68" s="420">
        <f t="shared" si="90"/>
        <v>900</v>
      </c>
      <c r="W68" s="421">
        <f t="shared" si="91"/>
        <v>900</v>
      </c>
      <c r="X68" s="363">
        <f t="shared" si="92"/>
        <v>0</v>
      </c>
      <c r="Y68" s="420">
        <f t="shared" si="93"/>
        <v>600</v>
      </c>
      <c r="Z68" s="421">
        <f t="shared" si="94"/>
        <v>600</v>
      </c>
      <c r="AA68" s="363">
        <f t="shared" si="95"/>
        <v>0</v>
      </c>
      <c r="AB68" s="420">
        <f t="shared" si="96"/>
        <v>1519</v>
      </c>
      <c r="AC68" s="421">
        <f t="shared" si="97"/>
        <v>1519</v>
      </c>
      <c r="AD68" s="363">
        <f t="shared" si="98"/>
        <v>0</v>
      </c>
      <c r="AE68" s="420">
        <f t="shared" si="99"/>
        <v>5</v>
      </c>
      <c r="AF68" s="421">
        <f t="shared" si="100"/>
        <v>5</v>
      </c>
      <c r="AG68" s="363">
        <f t="shared" si="101"/>
        <v>0</v>
      </c>
      <c r="AH68" s="420">
        <f t="shared" si="102"/>
        <v>250</v>
      </c>
      <c r="AI68" s="421">
        <f t="shared" si="103"/>
        <v>250</v>
      </c>
      <c r="AJ68" s="363">
        <f t="shared" si="104"/>
        <v>0</v>
      </c>
      <c r="AK68" s="420">
        <f t="shared" si="105"/>
        <v>450</v>
      </c>
      <c r="AL68" s="421">
        <f t="shared" si="106"/>
        <v>450</v>
      </c>
      <c r="AM68" s="363">
        <f t="shared" si="107"/>
        <v>0</v>
      </c>
      <c r="AN68" s="420">
        <f t="shared" si="108"/>
        <v>550</v>
      </c>
      <c r="AO68" s="421">
        <f t="shared" si="109"/>
        <v>550</v>
      </c>
      <c r="AP68" s="363">
        <f t="shared" si="110"/>
        <v>0</v>
      </c>
      <c r="AQ68" s="420">
        <f t="shared" si="111"/>
        <v>350</v>
      </c>
      <c r="AR68" s="421">
        <f t="shared" si="112"/>
        <v>350</v>
      </c>
      <c r="AS68" s="363">
        <f t="shared" si="113"/>
        <v>0</v>
      </c>
      <c r="AT68" s="420">
        <f t="shared" si="114"/>
        <v>750</v>
      </c>
      <c r="AU68" s="421">
        <f t="shared" si="115"/>
        <v>750</v>
      </c>
      <c r="AV68" s="363">
        <f t="shared" si="116"/>
        <v>0</v>
      </c>
      <c r="AW68" s="420">
        <f t="shared" si="117"/>
        <v>1200</v>
      </c>
      <c r="AX68" s="421">
        <f t="shared" si="118"/>
        <v>1200</v>
      </c>
      <c r="AY68" s="363">
        <f t="shared" si="119"/>
        <v>0</v>
      </c>
    </row>
    <row r="69" spans="1:52" ht="16">
      <c r="A69" s="806"/>
      <c r="B69" s="808"/>
      <c r="C69" s="409" t="s">
        <v>117</v>
      </c>
      <c r="D69" s="410">
        <f t="shared" si="4"/>
        <v>1441674</v>
      </c>
      <c r="E69" s="411">
        <f t="shared" si="5"/>
        <v>1441674</v>
      </c>
      <c r="F69" s="412">
        <f t="shared" si="6"/>
        <v>0</v>
      </c>
      <c r="G69" s="419">
        <f t="shared" si="76"/>
        <v>240000</v>
      </c>
      <c r="H69" s="420">
        <f t="shared" si="77"/>
        <v>240000</v>
      </c>
      <c r="I69" s="361">
        <f t="shared" si="120"/>
        <v>0</v>
      </c>
      <c r="J69" s="420">
        <f t="shared" si="78"/>
        <v>2100</v>
      </c>
      <c r="K69" s="420">
        <f t="shared" si="79"/>
        <v>2100</v>
      </c>
      <c r="L69" s="361">
        <f t="shared" si="80"/>
        <v>0</v>
      </c>
      <c r="M69" s="420">
        <f t="shared" si="81"/>
        <v>979999.99999999988</v>
      </c>
      <c r="N69" s="420">
        <f t="shared" si="82"/>
        <v>979999.99999999988</v>
      </c>
      <c r="O69" s="361">
        <f t="shared" si="83"/>
        <v>0</v>
      </c>
      <c r="P69" s="420">
        <f t="shared" si="84"/>
        <v>3000</v>
      </c>
      <c r="Q69" s="421">
        <f t="shared" si="85"/>
        <v>3000</v>
      </c>
      <c r="R69" s="363">
        <f t="shared" si="86"/>
        <v>0</v>
      </c>
      <c r="S69" s="420">
        <f t="shared" si="87"/>
        <v>210000</v>
      </c>
      <c r="T69" s="421">
        <f t="shared" si="88"/>
        <v>210000</v>
      </c>
      <c r="U69" s="363">
        <f t="shared" si="89"/>
        <v>0</v>
      </c>
      <c r="V69" s="420">
        <f t="shared" si="90"/>
        <v>900</v>
      </c>
      <c r="W69" s="421">
        <f t="shared" si="91"/>
        <v>900</v>
      </c>
      <c r="X69" s="363">
        <f t="shared" si="92"/>
        <v>0</v>
      </c>
      <c r="Y69" s="420">
        <f t="shared" si="93"/>
        <v>600</v>
      </c>
      <c r="Z69" s="421">
        <f t="shared" si="94"/>
        <v>600</v>
      </c>
      <c r="AA69" s="363">
        <f t="shared" si="95"/>
        <v>0</v>
      </c>
      <c r="AB69" s="420">
        <f t="shared" si="96"/>
        <v>1519</v>
      </c>
      <c r="AC69" s="421">
        <f t="shared" si="97"/>
        <v>1519</v>
      </c>
      <c r="AD69" s="363">
        <f t="shared" si="98"/>
        <v>0</v>
      </c>
      <c r="AE69" s="420">
        <f t="shared" si="99"/>
        <v>5</v>
      </c>
      <c r="AF69" s="421">
        <f t="shared" si="100"/>
        <v>5</v>
      </c>
      <c r="AG69" s="363">
        <f t="shared" si="101"/>
        <v>0</v>
      </c>
      <c r="AH69" s="420">
        <f t="shared" si="102"/>
        <v>250</v>
      </c>
      <c r="AI69" s="421">
        <f t="shared" si="103"/>
        <v>250</v>
      </c>
      <c r="AJ69" s="363">
        <f t="shared" si="104"/>
        <v>0</v>
      </c>
      <c r="AK69" s="420">
        <f t="shared" si="105"/>
        <v>450</v>
      </c>
      <c r="AL69" s="421">
        <f t="shared" si="106"/>
        <v>450</v>
      </c>
      <c r="AM69" s="363">
        <f t="shared" si="107"/>
        <v>0</v>
      </c>
      <c r="AN69" s="420">
        <f t="shared" si="108"/>
        <v>550</v>
      </c>
      <c r="AO69" s="421">
        <f t="shared" si="109"/>
        <v>550</v>
      </c>
      <c r="AP69" s="363">
        <f t="shared" si="110"/>
        <v>0</v>
      </c>
      <c r="AQ69" s="420">
        <f t="shared" si="111"/>
        <v>350</v>
      </c>
      <c r="AR69" s="421">
        <f t="shared" si="112"/>
        <v>350</v>
      </c>
      <c r="AS69" s="363">
        <f t="shared" si="113"/>
        <v>0</v>
      </c>
      <c r="AT69" s="420">
        <f t="shared" si="114"/>
        <v>750</v>
      </c>
      <c r="AU69" s="421">
        <f t="shared" si="115"/>
        <v>750</v>
      </c>
      <c r="AV69" s="363">
        <f t="shared" si="116"/>
        <v>0</v>
      </c>
      <c r="AW69" s="420">
        <f t="shared" si="117"/>
        <v>1200</v>
      </c>
      <c r="AX69" s="421">
        <f t="shared" si="118"/>
        <v>1200</v>
      </c>
      <c r="AY69" s="363">
        <f t="shared" si="119"/>
        <v>0</v>
      </c>
    </row>
    <row r="70" spans="1:52" ht="16">
      <c r="A70" s="806"/>
      <c r="B70" s="808"/>
      <c r="C70" s="409" t="s">
        <v>118</v>
      </c>
      <c r="D70" s="410">
        <f t="shared" si="4"/>
        <v>1441674</v>
      </c>
      <c r="E70" s="411">
        <f t="shared" si="5"/>
        <v>1441674</v>
      </c>
      <c r="F70" s="412">
        <f t="shared" si="6"/>
        <v>0</v>
      </c>
      <c r="G70" s="419">
        <f t="shared" si="76"/>
        <v>240000</v>
      </c>
      <c r="H70" s="420">
        <f t="shared" si="77"/>
        <v>240000</v>
      </c>
      <c r="I70" s="361">
        <f t="shared" si="120"/>
        <v>0</v>
      </c>
      <c r="J70" s="420">
        <f t="shared" si="78"/>
        <v>2100</v>
      </c>
      <c r="K70" s="420">
        <f t="shared" si="79"/>
        <v>2100</v>
      </c>
      <c r="L70" s="361">
        <f t="shared" si="80"/>
        <v>0</v>
      </c>
      <c r="M70" s="420">
        <f t="shared" si="81"/>
        <v>979999.99999999988</v>
      </c>
      <c r="N70" s="420">
        <f t="shared" si="82"/>
        <v>979999.99999999988</v>
      </c>
      <c r="O70" s="361">
        <f t="shared" si="83"/>
        <v>0</v>
      </c>
      <c r="P70" s="420">
        <f t="shared" si="84"/>
        <v>3000</v>
      </c>
      <c r="Q70" s="421">
        <f t="shared" si="85"/>
        <v>3000</v>
      </c>
      <c r="R70" s="363">
        <f t="shared" si="86"/>
        <v>0</v>
      </c>
      <c r="S70" s="420">
        <f t="shared" si="87"/>
        <v>210000</v>
      </c>
      <c r="T70" s="421">
        <f t="shared" si="88"/>
        <v>210000</v>
      </c>
      <c r="U70" s="363">
        <f t="shared" si="89"/>
        <v>0</v>
      </c>
      <c r="V70" s="420">
        <f t="shared" si="90"/>
        <v>900</v>
      </c>
      <c r="W70" s="421">
        <f t="shared" si="91"/>
        <v>900</v>
      </c>
      <c r="X70" s="363">
        <f t="shared" si="92"/>
        <v>0</v>
      </c>
      <c r="Y70" s="420">
        <f t="shared" si="93"/>
        <v>600</v>
      </c>
      <c r="Z70" s="421">
        <f t="shared" si="94"/>
        <v>600</v>
      </c>
      <c r="AA70" s="363">
        <f t="shared" si="95"/>
        <v>0</v>
      </c>
      <c r="AB70" s="420">
        <f t="shared" si="96"/>
        <v>1519</v>
      </c>
      <c r="AC70" s="421">
        <f t="shared" si="97"/>
        <v>1519</v>
      </c>
      <c r="AD70" s="363">
        <f t="shared" si="98"/>
        <v>0</v>
      </c>
      <c r="AE70" s="420">
        <f t="shared" si="99"/>
        <v>5</v>
      </c>
      <c r="AF70" s="421">
        <f t="shared" si="100"/>
        <v>5</v>
      </c>
      <c r="AG70" s="363">
        <f t="shared" si="101"/>
        <v>0</v>
      </c>
      <c r="AH70" s="420">
        <f t="shared" si="102"/>
        <v>250</v>
      </c>
      <c r="AI70" s="421">
        <f t="shared" si="103"/>
        <v>250</v>
      </c>
      <c r="AJ70" s="363">
        <f t="shared" si="104"/>
        <v>0</v>
      </c>
      <c r="AK70" s="420">
        <f t="shared" si="105"/>
        <v>450</v>
      </c>
      <c r="AL70" s="421">
        <f t="shared" si="106"/>
        <v>450</v>
      </c>
      <c r="AM70" s="363">
        <f t="shared" si="107"/>
        <v>0</v>
      </c>
      <c r="AN70" s="420">
        <f t="shared" si="108"/>
        <v>550</v>
      </c>
      <c r="AO70" s="421">
        <f t="shared" si="109"/>
        <v>550</v>
      </c>
      <c r="AP70" s="363">
        <f t="shared" si="110"/>
        <v>0</v>
      </c>
      <c r="AQ70" s="420">
        <f t="shared" si="111"/>
        <v>350</v>
      </c>
      <c r="AR70" s="421">
        <f t="shared" si="112"/>
        <v>350</v>
      </c>
      <c r="AS70" s="363">
        <f t="shared" si="113"/>
        <v>0</v>
      </c>
      <c r="AT70" s="420">
        <f t="shared" si="114"/>
        <v>750</v>
      </c>
      <c r="AU70" s="421">
        <f t="shared" si="115"/>
        <v>750</v>
      </c>
      <c r="AV70" s="363">
        <f t="shared" si="116"/>
        <v>0</v>
      </c>
      <c r="AW70" s="420">
        <f t="shared" si="117"/>
        <v>1200</v>
      </c>
      <c r="AX70" s="421">
        <f t="shared" si="118"/>
        <v>1200</v>
      </c>
      <c r="AY70" s="363">
        <f t="shared" si="119"/>
        <v>0</v>
      </c>
    </row>
    <row r="71" spans="1:52" ht="16">
      <c r="A71" s="806"/>
      <c r="B71" s="808"/>
      <c r="C71" s="409" t="s">
        <v>119</v>
      </c>
      <c r="D71" s="410">
        <f t="shared" ref="D71:D134" si="121">G71+J71+M71+AE71+P71+S71+V71+Y71+AB71+AH71+AK71+AN71+AQ71+AT71+AW71</f>
        <v>1441674</v>
      </c>
      <c r="E71" s="411">
        <f t="shared" ref="E71:E134" si="122">H71+K71+N71+AF71+Q71+T71+W71+Z71+AC71+AI71+AL71+AO71+AR71+AU71+AX71</f>
        <v>1441674</v>
      </c>
      <c r="F71" s="412">
        <f t="shared" ref="F71:F134" si="123">I71+L71+O71+AG71+R71+U71+AA71+X71+AD71+AJ71+AM71+AP71+AS71+AV71+AY71</f>
        <v>0</v>
      </c>
      <c r="G71" s="419">
        <f t="shared" si="76"/>
        <v>240000</v>
      </c>
      <c r="H71" s="420">
        <f t="shared" si="77"/>
        <v>240000</v>
      </c>
      <c r="I71" s="361">
        <f t="shared" si="120"/>
        <v>0</v>
      </c>
      <c r="J71" s="420">
        <f t="shared" si="78"/>
        <v>2100</v>
      </c>
      <c r="K71" s="420">
        <f t="shared" si="79"/>
        <v>2100</v>
      </c>
      <c r="L71" s="361">
        <f t="shared" si="80"/>
        <v>0</v>
      </c>
      <c r="M71" s="420">
        <f t="shared" si="81"/>
        <v>979999.99999999988</v>
      </c>
      <c r="N71" s="420">
        <f t="shared" si="82"/>
        <v>979999.99999999988</v>
      </c>
      <c r="O71" s="361">
        <f t="shared" si="83"/>
        <v>0</v>
      </c>
      <c r="P71" s="420">
        <f t="shared" si="84"/>
        <v>3000</v>
      </c>
      <c r="Q71" s="421">
        <f t="shared" si="85"/>
        <v>3000</v>
      </c>
      <c r="R71" s="363">
        <f t="shared" si="86"/>
        <v>0</v>
      </c>
      <c r="S71" s="420">
        <f t="shared" si="87"/>
        <v>210000</v>
      </c>
      <c r="T71" s="421">
        <f t="shared" si="88"/>
        <v>210000</v>
      </c>
      <c r="U71" s="363">
        <f t="shared" si="89"/>
        <v>0</v>
      </c>
      <c r="V71" s="420">
        <f t="shared" si="90"/>
        <v>900</v>
      </c>
      <c r="W71" s="421">
        <f t="shared" si="91"/>
        <v>900</v>
      </c>
      <c r="X71" s="363">
        <f t="shared" si="92"/>
        <v>0</v>
      </c>
      <c r="Y71" s="420">
        <f t="shared" si="93"/>
        <v>600</v>
      </c>
      <c r="Z71" s="421">
        <f t="shared" si="94"/>
        <v>600</v>
      </c>
      <c r="AA71" s="363">
        <f t="shared" si="95"/>
        <v>0</v>
      </c>
      <c r="AB71" s="420">
        <f t="shared" si="96"/>
        <v>1519</v>
      </c>
      <c r="AC71" s="421">
        <f t="shared" si="97"/>
        <v>1519</v>
      </c>
      <c r="AD71" s="363">
        <f t="shared" si="98"/>
        <v>0</v>
      </c>
      <c r="AE71" s="420">
        <f t="shared" si="99"/>
        <v>5</v>
      </c>
      <c r="AF71" s="421">
        <f t="shared" si="100"/>
        <v>5</v>
      </c>
      <c r="AG71" s="363">
        <f t="shared" si="101"/>
        <v>0</v>
      </c>
      <c r="AH71" s="420">
        <f t="shared" si="102"/>
        <v>250</v>
      </c>
      <c r="AI71" s="421">
        <f t="shared" si="103"/>
        <v>250</v>
      </c>
      <c r="AJ71" s="363">
        <f t="shared" si="104"/>
        <v>0</v>
      </c>
      <c r="AK71" s="420">
        <f t="shared" si="105"/>
        <v>450</v>
      </c>
      <c r="AL71" s="421">
        <f t="shared" si="106"/>
        <v>450</v>
      </c>
      <c r="AM71" s="363">
        <f t="shared" si="107"/>
        <v>0</v>
      </c>
      <c r="AN71" s="420">
        <f t="shared" si="108"/>
        <v>550</v>
      </c>
      <c r="AO71" s="421">
        <f t="shared" si="109"/>
        <v>550</v>
      </c>
      <c r="AP71" s="363">
        <f t="shared" si="110"/>
        <v>0</v>
      </c>
      <c r="AQ71" s="420">
        <f t="shared" si="111"/>
        <v>350</v>
      </c>
      <c r="AR71" s="421">
        <f t="shared" si="112"/>
        <v>350</v>
      </c>
      <c r="AS71" s="363">
        <f t="shared" si="113"/>
        <v>0</v>
      </c>
      <c r="AT71" s="420">
        <f t="shared" si="114"/>
        <v>750</v>
      </c>
      <c r="AU71" s="421">
        <f t="shared" si="115"/>
        <v>750</v>
      </c>
      <c r="AV71" s="363">
        <f t="shared" si="116"/>
        <v>0</v>
      </c>
      <c r="AW71" s="420">
        <f t="shared" si="117"/>
        <v>1200</v>
      </c>
      <c r="AX71" s="421">
        <f t="shared" si="118"/>
        <v>1200</v>
      </c>
      <c r="AY71" s="363">
        <f t="shared" si="119"/>
        <v>0</v>
      </c>
    </row>
    <row r="72" spans="1:52" ht="16">
      <c r="A72" s="806"/>
      <c r="B72" s="808"/>
      <c r="C72" s="409" t="s">
        <v>120</v>
      </c>
      <c r="D72" s="410">
        <f t="shared" si="121"/>
        <v>1441674</v>
      </c>
      <c r="E72" s="411">
        <f t="shared" si="122"/>
        <v>1441674</v>
      </c>
      <c r="F72" s="412">
        <f t="shared" si="123"/>
        <v>0</v>
      </c>
      <c r="G72" s="419">
        <f t="shared" si="76"/>
        <v>240000</v>
      </c>
      <c r="H72" s="420">
        <f t="shared" si="77"/>
        <v>240000</v>
      </c>
      <c r="I72" s="361">
        <f t="shared" si="120"/>
        <v>0</v>
      </c>
      <c r="J72" s="420">
        <f t="shared" si="78"/>
        <v>2100</v>
      </c>
      <c r="K72" s="420">
        <f t="shared" si="79"/>
        <v>2100</v>
      </c>
      <c r="L72" s="361">
        <f t="shared" si="80"/>
        <v>0</v>
      </c>
      <c r="M72" s="420">
        <f t="shared" si="81"/>
        <v>979999.99999999988</v>
      </c>
      <c r="N72" s="420">
        <f t="shared" si="82"/>
        <v>979999.99999999988</v>
      </c>
      <c r="O72" s="361">
        <f t="shared" si="83"/>
        <v>0</v>
      </c>
      <c r="P72" s="420">
        <f t="shared" si="84"/>
        <v>3000</v>
      </c>
      <c r="Q72" s="421">
        <f t="shared" si="85"/>
        <v>3000</v>
      </c>
      <c r="R72" s="363">
        <f t="shared" si="86"/>
        <v>0</v>
      </c>
      <c r="S72" s="420">
        <f t="shared" si="87"/>
        <v>210000</v>
      </c>
      <c r="T72" s="421">
        <f t="shared" si="88"/>
        <v>210000</v>
      </c>
      <c r="U72" s="363">
        <f t="shared" si="89"/>
        <v>0</v>
      </c>
      <c r="V72" s="420">
        <f t="shared" si="90"/>
        <v>900</v>
      </c>
      <c r="W72" s="421">
        <f t="shared" si="91"/>
        <v>900</v>
      </c>
      <c r="X72" s="363">
        <f t="shared" si="92"/>
        <v>0</v>
      </c>
      <c r="Y72" s="420">
        <f t="shared" si="93"/>
        <v>600</v>
      </c>
      <c r="Z72" s="421">
        <f t="shared" si="94"/>
        <v>600</v>
      </c>
      <c r="AA72" s="363">
        <f t="shared" si="95"/>
        <v>0</v>
      </c>
      <c r="AB72" s="420">
        <f t="shared" si="96"/>
        <v>1519</v>
      </c>
      <c r="AC72" s="421">
        <f t="shared" si="97"/>
        <v>1519</v>
      </c>
      <c r="AD72" s="363">
        <f t="shared" si="98"/>
        <v>0</v>
      </c>
      <c r="AE72" s="420">
        <f t="shared" si="99"/>
        <v>5</v>
      </c>
      <c r="AF72" s="421">
        <f t="shared" si="100"/>
        <v>5</v>
      </c>
      <c r="AG72" s="363">
        <f t="shared" si="101"/>
        <v>0</v>
      </c>
      <c r="AH72" s="420">
        <f t="shared" si="102"/>
        <v>250</v>
      </c>
      <c r="AI72" s="421">
        <f t="shared" si="103"/>
        <v>250</v>
      </c>
      <c r="AJ72" s="363">
        <f t="shared" si="104"/>
        <v>0</v>
      </c>
      <c r="AK72" s="420">
        <f t="shared" si="105"/>
        <v>450</v>
      </c>
      <c r="AL72" s="421">
        <f t="shared" si="106"/>
        <v>450</v>
      </c>
      <c r="AM72" s="363">
        <f t="shared" si="107"/>
        <v>0</v>
      </c>
      <c r="AN72" s="420">
        <f t="shared" si="108"/>
        <v>550</v>
      </c>
      <c r="AO72" s="421">
        <f t="shared" si="109"/>
        <v>550</v>
      </c>
      <c r="AP72" s="363">
        <f t="shared" si="110"/>
        <v>0</v>
      </c>
      <c r="AQ72" s="420">
        <f t="shared" si="111"/>
        <v>350</v>
      </c>
      <c r="AR72" s="421">
        <f t="shared" si="112"/>
        <v>350</v>
      </c>
      <c r="AS72" s="363">
        <f t="shared" si="113"/>
        <v>0</v>
      </c>
      <c r="AT72" s="420">
        <f t="shared" si="114"/>
        <v>750</v>
      </c>
      <c r="AU72" s="421">
        <f t="shared" si="115"/>
        <v>750</v>
      </c>
      <c r="AV72" s="363">
        <f t="shared" si="116"/>
        <v>0</v>
      </c>
      <c r="AW72" s="420">
        <f t="shared" si="117"/>
        <v>1200</v>
      </c>
      <c r="AX72" s="421">
        <f t="shared" si="118"/>
        <v>1200</v>
      </c>
      <c r="AY72" s="363">
        <f t="shared" si="119"/>
        <v>0</v>
      </c>
    </row>
    <row r="73" spans="1:52" ht="16">
      <c r="A73" s="806"/>
      <c r="B73" s="808"/>
      <c r="C73" s="409" t="s">
        <v>121</v>
      </c>
      <c r="D73" s="410">
        <f t="shared" si="121"/>
        <v>1441674</v>
      </c>
      <c r="E73" s="411">
        <f t="shared" si="122"/>
        <v>1441674</v>
      </c>
      <c r="F73" s="412">
        <f t="shared" si="123"/>
        <v>0</v>
      </c>
      <c r="G73" s="419">
        <f t="shared" si="76"/>
        <v>240000</v>
      </c>
      <c r="H73" s="420">
        <f t="shared" si="77"/>
        <v>240000</v>
      </c>
      <c r="I73" s="361">
        <f t="shared" si="120"/>
        <v>0</v>
      </c>
      <c r="J73" s="420">
        <f t="shared" si="78"/>
        <v>2100</v>
      </c>
      <c r="K73" s="420">
        <f t="shared" si="79"/>
        <v>2100</v>
      </c>
      <c r="L73" s="361">
        <f t="shared" si="80"/>
        <v>0</v>
      </c>
      <c r="M73" s="420">
        <f t="shared" si="81"/>
        <v>979999.99999999988</v>
      </c>
      <c r="N73" s="420">
        <f t="shared" si="82"/>
        <v>979999.99999999988</v>
      </c>
      <c r="O73" s="361">
        <f t="shared" si="83"/>
        <v>0</v>
      </c>
      <c r="P73" s="420">
        <f t="shared" si="84"/>
        <v>3000</v>
      </c>
      <c r="Q73" s="421">
        <f t="shared" si="85"/>
        <v>3000</v>
      </c>
      <c r="R73" s="363">
        <f t="shared" si="86"/>
        <v>0</v>
      </c>
      <c r="S73" s="420">
        <f t="shared" si="87"/>
        <v>210000</v>
      </c>
      <c r="T73" s="421">
        <f t="shared" si="88"/>
        <v>210000</v>
      </c>
      <c r="U73" s="363">
        <f t="shared" si="89"/>
        <v>0</v>
      </c>
      <c r="V73" s="420">
        <f t="shared" si="90"/>
        <v>900</v>
      </c>
      <c r="W73" s="421">
        <f t="shared" si="91"/>
        <v>900</v>
      </c>
      <c r="X73" s="363">
        <f t="shared" si="92"/>
        <v>0</v>
      </c>
      <c r="Y73" s="420">
        <f t="shared" si="93"/>
        <v>600</v>
      </c>
      <c r="Z73" s="421">
        <f t="shared" si="94"/>
        <v>600</v>
      </c>
      <c r="AA73" s="363">
        <f t="shared" si="95"/>
        <v>0</v>
      </c>
      <c r="AB73" s="420">
        <f t="shared" si="96"/>
        <v>1519</v>
      </c>
      <c r="AC73" s="421">
        <f t="shared" si="97"/>
        <v>1519</v>
      </c>
      <c r="AD73" s="363">
        <f t="shared" si="98"/>
        <v>0</v>
      </c>
      <c r="AE73" s="420">
        <f t="shared" si="99"/>
        <v>5</v>
      </c>
      <c r="AF73" s="421">
        <f t="shared" si="100"/>
        <v>5</v>
      </c>
      <c r="AG73" s="363">
        <f t="shared" si="101"/>
        <v>0</v>
      </c>
      <c r="AH73" s="420">
        <f t="shared" si="102"/>
        <v>250</v>
      </c>
      <c r="AI73" s="421">
        <f t="shared" si="103"/>
        <v>250</v>
      </c>
      <c r="AJ73" s="363">
        <f t="shared" si="104"/>
        <v>0</v>
      </c>
      <c r="AK73" s="420">
        <f t="shared" si="105"/>
        <v>450</v>
      </c>
      <c r="AL73" s="421">
        <f t="shared" si="106"/>
        <v>450</v>
      </c>
      <c r="AM73" s="363">
        <f t="shared" si="107"/>
        <v>0</v>
      </c>
      <c r="AN73" s="420">
        <f t="shared" si="108"/>
        <v>550</v>
      </c>
      <c r="AO73" s="421">
        <f t="shared" si="109"/>
        <v>550</v>
      </c>
      <c r="AP73" s="363">
        <f t="shared" si="110"/>
        <v>0</v>
      </c>
      <c r="AQ73" s="420">
        <f t="shared" si="111"/>
        <v>350</v>
      </c>
      <c r="AR73" s="421">
        <f t="shared" si="112"/>
        <v>350</v>
      </c>
      <c r="AS73" s="363">
        <f t="shared" si="113"/>
        <v>0</v>
      </c>
      <c r="AT73" s="420">
        <f t="shared" si="114"/>
        <v>750</v>
      </c>
      <c r="AU73" s="421">
        <f t="shared" si="115"/>
        <v>750</v>
      </c>
      <c r="AV73" s="363">
        <f t="shared" si="116"/>
        <v>0</v>
      </c>
      <c r="AW73" s="420">
        <f t="shared" si="117"/>
        <v>1200</v>
      </c>
      <c r="AX73" s="421">
        <f t="shared" si="118"/>
        <v>1200</v>
      </c>
      <c r="AY73" s="363">
        <f t="shared" si="119"/>
        <v>0</v>
      </c>
    </row>
    <row r="74" spans="1:52" ht="16">
      <c r="A74" s="806"/>
      <c r="B74" s="808"/>
      <c r="C74" s="409" t="s">
        <v>122</v>
      </c>
      <c r="D74" s="410">
        <f t="shared" si="121"/>
        <v>1441674</v>
      </c>
      <c r="E74" s="411">
        <f t="shared" si="122"/>
        <v>1441674</v>
      </c>
      <c r="F74" s="412">
        <f t="shared" si="123"/>
        <v>0</v>
      </c>
      <c r="G74" s="419">
        <f t="shared" si="76"/>
        <v>240000</v>
      </c>
      <c r="H74" s="420">
        <f t="shared" si="77"/>
        <v>240000</v>
      </c>
      <c r="I74" s="361">
        <f t="shared" si="120"/>
        <v>0</v>
      </c>
      <c r="J74" s="420">
        <f t="shared" si="78"/>
        <v>2100</v>
      </c>
      <c r="K74" s="420">
        <f t="shared" si="79"/>
        <v>2100</v>
      </c>
      <c r="L74" s="361">
        <f t="shared" si="80"/>
        <v>0</v>
      </c>
      <c r="M74" s="420">
        <f t="shared" si="81"/>
        <v>979999.99999999988</v>
      </c>
      <c r="N74" s="420">
        <f t="shared" si="82"/>
        <v>979999.99999999988</v>
      </c>
      <c r="O74" s="361">
        <f t="shared" si="83"/>
        <v>0</v>
      </c>
      <c r="P74" s="420">
        <f t="shared" si="84"/>
        <v>3000</v>
      </c>
      <c r="Q74" s="421">
        <f t="shared" si="85"/>
        <v>3000</v>
      </c>
      <c r="R74" s="363">
        <f t="shared" si="86"/>
        <v>0</v>
      </c>
      <c r="S74" s="420">
        <f t="shared" si="87"/>
        <v>210000</v>
      </c>
      <c r="T74" s="421">
        <f t="shared" si="88"/>
        <v>210000</v>
      </c>
      <c r="U74" s="363">
        <f t="shared" si="89"/>
        <v>0</v>
      </c>
      <c r="V74" s="420">
        <f t="shared" si="90"/>
        <v>900</v>
      </c>
      <c r="W74" s="421">
        <f t="shared" si="91"/>
        <v>900</v>
      </c>
      <c r="X74" s="363">
        <f t="shared" si="92"/>
        <v>0</v>
      </c>
      <c r="Y74" s="420">
        <f t="shared" si="93"/>
        <v>600</v>
      </c>
      <c r="Z74" s="421">
        <f t="shared" si="94"/>
        <v>600</v>
      </c>
      <c r="AA74" s="363">
        <f t="shared" si="95"/>
        <v>0</v>
      </c>
      <c r="AB74" s="420">
        <f t="shared" si="96"/>
        <v>1519</v>
      </c>
      <c r="AC74" s="421">
        <f t="shared" si="97"/>
        <v>1519</v>
      </c>
      <c r="AD74" s="363">
        <f t="shared" si="98"/>
        <v>0</v>
      </c>
      <c r="AE74" s="420">
        <f t="shared" si="99"/>
        <v>5</v>
      </c>
      <c r="AF74" s="421">
        <f t="shared" si="100"/>
        <v>5</v>
      </c>
      <c r="AG74" s="363">
        <f t="shared" si="101"/>
        <v>0</v>
      </c>
      <c r="AH74" s="420">
        <f t="shared" si="102"/>
        <v>250</v>
      </c>
      <c r="AI74" s="421">
        <f t="shared" si="103"/>
        <v>250</v>
      </c>
      <c r="AJ74" s="363">
        <f t="shared" si="104"/>
        <v>0</v>
      </c>
      <c r="AK74" s="420">
        <f t="shared" si="105"/>
        <v>450</v>
      </c>
      <c r="AL74" s="421">
        <f t="shared" si="106"/>
        <v>450</v>
      </c>
      <c r="AM74" s="363">
        <f t="shared" si="107"/>
        <v>0</v>
      </c>
      <c r="AN74" s="420">
        <f t="shared" si="108"/>
        <v>550</v>
      </c>
      <c r="AO74" s="421">
        <f t="shared" si="109"/>
        <v>550</v>
      </c>
      <c r="AP74" s="363">
        <f t="shared" si="110"/>
        <v>0</v>
      </c>
      <c r="AQ74" s="420">
        <f t="shared" si="111"/>
        <v>350</v>
      </c>
      <c r="AR74" s="421">
        <f t="shared" si="112"/>
        <v>350</v>
      </c>
      <c r="AS74" s="363">
        <f t="shared" si="113"/>
        <v>0</v>
      </c>
      <c r="AT74" s="420">
        <f t="shared" si="114"/>
        <v>750</v>
      </c>
      <c r="AU74" s="421">
        <f t="shared" si="115"/>
        <v>750</v>
      </c>
      <c r="AV74" s="363">
        <f t="shared" si="116"/>
        <v>0</v>
      </c>
      <c r="AW74" s="420">
        <f t="shared" si="117"/>
        <v>1200</v>
      </c>
      <c r="AX74" s="421">
        <f t="shared" si="118"/>
        <v>1200</v>
      </c>
      <c r="AY74" s="363">
        <f t="shared" si="119"/>
        <v>0</v>
      </c>
    </row>
    <row r="75" spans="1:52" ht="16">
      <c r="A75" s="806"/>
      <c r="B75" s="808"/>
      <c r="C75" s="409" t="s">
        <v>123</v>
      </c>
      <c r="D75" s="410">
        <f t="shared" si="121"/>
        <v>1441674</v>
      </c>
      <c r="E75" s="411">
        <f t="shared" si="122"/>
        <v>1441674</v>
      </c>
      <c r="F75" s="412">
        <f t="shared" si="123"/>
        <v>0</v>
      </c>
      <c r="G75" s="419">
        <f t="shared" si="76"/>
        <v>240000</v>
      </c>
      <c r="H75" s="420">
        <f t="shared" si="77"/>
        <v>240000</v>
      </c>
      <c r="I75" s="361">
        <f t="shared" si="120"/>
        <v>0</v>
      </c>
      <c r="J75" s="420">
        <f t="shared" si="78"/>
        <v>2100</v>
      </c>
      <c r="K75" s="420">
        <f t="shared" si="79"/>
        <v>2100</v>
      </c>
      <c r="L75" s="361">
        <f t="shared" si="80"/>
        <v>0</v>
      </c>
      <c r="M75" s="420">
        <f t="shared" si="81"/>
        <v>979999.99999999988</v>
      </c>
      <c r="N75" s="420">
        <f t="shared" si="82"/>
        <v>979999.99999999988</v>
      </c>
      <c r="O75" s="361">
        <f t="shared" si="83"/>
        <v>0</v>
      </c>
      <c r="P75" s="420">
        <f t="shared" si="84"/>
        <v>3000</v>
      </c>
      <c r="Q75" s="421">
        <f t="shared" si="85"/>
        <v>3000</v>
      </c>
      <c r="R75" s="363">
        <f t="shared" si="86"/>
        <v>0</v>
      </c>
      <c r="S75" s="420">
        <f t="shared" si="87"/>
        <v>210000</v>
      </c>
      <c r="T75" s="421">
        <f t="shared" si="88"/>
        <v>210000</v>
      </c>
      <c r="U75" s="363">
        <f t="shared" si="89"/>
        <v>0</v>
      </c>
      <c r="V75" s="420">
        <f t="shared" si="90"/>
        <v>900</v>
      </c>
      <c r="W75" s="421">
        <f t="shared" si="91"/>
        <v>900</v>
      </c>
      <c r="X75" s="363">
        <f t="shared" si="92"/>
        <v>0</v>
      </c>
      <c r="Y75" s="420">
        <f t="shared" si="93"/>
        <v>600</v>
      </c>
      <c r="Z75" s="421">
        <f t="shared" si="94"/>
        <v>600</v>
      </c>
      <c r="AA75" s="363">
        <f t="shared" si="95"/>
        <v>0</v>
      </c>
      <c r="AB75" s="420">
        <f t="shared" si="96"/>
        <v>1519</v>
      </c>
      <c r="AC75" s="421">
        <f t="shared" si="97"/>
        <v>1519</v>
      </c>
      <c r="AD75" s="363">
        <f t="shared" si="98"/>
        <v>0</v>
      </c>
      <c r="AE75" s="420">
        <f t="shared" si="99"/>
        <v>5</v>
      </c>
      <c r="AF75" s="421">
        <f t="shared" si="100"/>
        <v>5</v>
      </c>
      <c r="AG75" s="363">
        <f t="shared" si="101"/>
        <v>0</v>
      </c>
      <c r="AH75" s="420">
        <f t="shared" si="102"/>
        <v>250</v>
      </c>
      <c r="AI75" s="421">
        <f t="shared" si="103"/>
        <v>250</v>
      </c>
      <c r="AJ75" s="363">
        <f t="shared" si="104"/>
        <v>0</v>
      </c>
      <c r="AK75" s="420">
        <f t="shared" si="105"/>
        <v>450</v>
      </c>
      <c r="AL75" s="421">
        <f t="shared" si="106"/>
        <v>450</v>
      </c>
      <c r="AM75" s="363">
        <f t="shared" si="107"/>
        <v>0</v>
      </c>
      <c r="AN75" s="420">
        <f t="shared" si="108"/>
        <v>550</v>
      </c>
      <c r="AO75" s="421">
        <f t="shared" si="109"/>
        <v>550</v>
      </c>
      <c r="AP75" s="363">
        <f t="shared" si="110"/>
        <v>0</v>
      </c>
      <c r="AQ75" s="420">
        <f t="shared" si="111"/>
        <v>350</v>
      </c>
      <c r="AR75" s="421">
        <f t="shared" si="112"/>
        <v>350</v>
      </c>
      <c r="AS75" s="363">
        <f t="shared" si="113"/>
        <v>0</v>
      </c>
      <c r="AT75" s="420">
        <f t="shared" si="114"/>
        <v>750</v>
      </c>
      <c r="AU75" s="421">
        <f t="shared" si="115"/>
        <v>750</v>
      </c>
      <c r="AV75" s="363">
        <f t="shared" si="116"/>
        <v>0</v>
      </c>
      <c r="AW75" s="420">
        <f t="shared" si="117"/>
        <v>1200</v>
      </c>
      <c r="AX75" s="421">
        <f t="shared" si="118"/>
        <v>1200</v>
      </c>
      <c r="AY75" s="363">
        <f t="shared" si="119"/>
        <v>0</v>
      </c>
    </row>
    <row r="76" spans="1:52" ht="17" thickBot="1">
      <c r="A76" s="807"/>
      <c r="B76" s="809"/>
      <c r="C76" s="422" t="s">
        <v>124</v>
      </c>
      <c r="D76" s="423">
        <f t="shared" si="121"/>
        <v>1441674</v>
      </c>
      <c r="E76" s="424">
        <f t="shared" si="122"/>
        <v>1441674</v>
      </c>
      <c r="F76" s="425">
        <f t="shared" si="123"/>
        <v>0</v>
      </c>
      <c r="G76" s="426">
        <f t="shared" si="76"/>
        <v>240000</v>
      </c>
      <c r="H76" s="427">
        <f t="shared" si="77"/>
        <v>240000</v>
      </c>
      <c r="I76" s="370">
        <f t="shared" si="120"/>
        <v>0</v>
      </c>
      <c r="J76" s="427">
        <f t="shared" si="78"/>
        <v>2100</v>
      </c>
      <c r="K76" s="427">
        <f t="shared" si="79"/>
        <v>2100</v>
      </c>
      <c r="L76" s="370">
        <f t="shared" si="80"/>
        <v>0</v>
      </c>
      <c r="M76" s="427">
        <f t="shared" si="81"/>
        <v>979999.99999999988</v>
      </c>
      <c r="N76" s="427">
        <f t="shared" si="82"/>
        <v>979999.99999999988</v>
      </c>
      <c r="O76" s="370">
        <f t="shared" si="83"/>
        <v>0</v>
      </c>
      <c r="P76" s="427">
        <f t="shared" si="84"/>
        <v>3000</v>
      </c>
      <c r="Q76" s="428">
        <f t="shared" si="85"/>
        <v>3000</v>
      </c>
      <c r="R76" s="372">
        <f t="shared" si="86"/>
        <v>0</v>
      </c>
      <c r="S76" s="427">
        <f t="shared" si="87"/>
        <v>210000</v>
      </c>
      <c r="T76" s="428">
        <f t="shared" si="88"/>
        <v>210000</v>
      </c>
      <c r="U76" s="372">
        <f t="shared" si="89"/>
        <v>0</v>
      </c>
      <c r="V76" s="427">
        <f t="shared" si="90"/>
        <v>900</v>
      </c>
      <c r="W76" s="428">
        <f t="shared" si="91"/>
        <v>900</v>
      </c>
      <c r="X76" s="372">
        <f t="shared" si="92"/>
        <v>0</v>
      </c>
      <c r="Y76" s="427">
        <f t="shared" si="93"/>
        <v>600</v>
      </c>
      <c r="Z76" s="428">
        <f t="shared" si="94"/>
        <v>600</v>
      </c>
      <c r="AA76" s="372">
        <f t="shared" si="95"/>
        <v>0</v>
      </c>
      <c r="AB76" s="427">
        <f t="shared" si="96"/>
        <v>1519</v>
      </c>
      <c r="AC76" s="428">
        <f t="shared" si="97"/>
        <v>1519</v>
      </c>
      <c r="AD76" s="372">
        <f t="shared" si="98"/>
        <v>0</v>
      </c>
      <c r="AE76" s="427">
        <f t="shared" si="99"/>
        <v>5</v>
      </c>
      <c r="AF76" s="428">
        <f t="shared" si="100"/>
        <v>5</v>
      </c>
      <c r="AG76" s="372">
        <f t="shared" si="101"/>
        <v>0</v>
      </c>
      <c r="AH76" s="427">
        <f t="shared" si="102"/>
        <v>250</v>
      </c>
      <c r="AI76" s="428">
        <f t="shared" si="103"/>
        <v>250</v>
      </c>
      <c r="AJ76" s="372">
        <f t="shared" si="104"/>
        <v>0</v>
      </c>
      <c r="AK76" s="427">
        <f t="shared" si="105"/>
        <v>450</v>
      </c>
      <c r="AL76" s="428">
        <f t="shared" si="106"/>
        <v>450</v>
      </c>
      <c r="AM76" s="372">
        <f t="shared" si="107"/>
        <v>0</v>
      </c>
      <c r="AN76" s="427">
        <f t="shared" si="108"/>
        <v>550</v>
      </c>
      <c r="AO76" s="428">
        <f t="shared" si="109"/>
        <v>550</v>
      </c>
      <c r="AP76" s="372">
        <f t="shared" si="110"/>
        <v>0</v>
      </c>
      <c r="AQ76" s="427">
        <f t="shared" si="111"/>
        <v>350</v>
      </c>
      <c r="AR76" s="428">
        <f t="shared" si="112"/>
        <v>350</v>
      </c>
      <c r="AS76" s="372">
        <f t="shared" si="113"/>
        <v>0</v>
      </c>
      <c r="AT76" s="427">
        <f t="shared" si="114"/>
        <v>750</v>
      </c>
      <c r="AU76" s="428">
        <f t="shared" si="115"/>
        <v>750</v>
      </c>
      <c r="AV76" s="372">
        <f t="shared" si="116"/>
        <v>0</v>
      </c>
      <c r="AW76" s="427">
        <f t="shared" si="117"/>
        <v>1200</v>
      </c>
      <c r="AX76" s="428">
        <f t="shared" si="118"/>
        <v>1200</v>
      </c>
      <c r="AY76" s="372">
        <f t="shared" si="119"/>
        <v>0</v>
      </c>
    </row>
    <row r="77" spans="1:52" ht="16">
      <c r="A77" s="806" t="s">
        <v>153</v>
      </c>
      <c r="B77" s="808" t="s">
        <v>190</v>
      </c>
      <c r="C77" s="409" t="s">
        <v>115</v>
      </c>
      <c r="D77" s="410">
        <f t="shared" si="121"/>
        <v>7386838.5987508958</v>
      </c>
      <c r="E77" s="411">
        <f t="shared" si="122"/>
        <v>7386838.5987508958</v>
      </c>
      <c r="F77" s="412">
        <f t="shared" si="123"/>
        <v>0</v>
      </c>
      <c r="G77" s="429">
        <f>G6*G36*Faktory!$D$8</f>
        <v>1812612.4137931035</v>
      </c>
      <c r="H77" s="430">
        <f>((H67*G36)-(H67*((G36-H36)*(1+$AZ$36))))*Faktory!$D$8</f>
        <v>1812612.4137931035</v>
      </c>
      <c r="I77" s="352">
        <f>H77-G77</f>
        <v>0</v>
      </c>
      <c r="J77" s="430">
        <f>J6*J36*Faktory!$D$8</f>
        <v>22183.35492413793</v>
      </c>
      <c r="K77" s="430">
        <f>((K67*J36)-(K67*((J36-K36)*(1+$AZ$36))))*Faktory!$D$8</f>
        <v>22183.35492413793</v>
      </c>
      <c r="L77" s="352">
        <f>K77-J77</f>
        <v>0</v>
      </c>
      <c r="M77" s="430">
        <f>M6*M36*Faktory!$D$8</f>
        <v>4440900.4137931028</v>
      </c>
      <c r="N77" s="430">
        <f>((N67*M36)-(N67*((M36-N36)*(1+$AZ$36))))*Faktory!$D$8</f>
        <v>4440900.4137931028</v>
      </c>
      <c r="O77" s="352">
        <f>N77-M77</f>
        <v>0</v>
      </c>
      <c r="P77" s="430">
        <f>P6*P36*Faktory!$D$8</f>
        <v>82685.336275862079</v>
      </c>
      <c r="Q77" s="431">
        <f>((Q67*P36)-(Q67*((P36-Q36)*(1+$AZ$36))))*Faktory!$D$8</f>
        <v>82685.336275862079</v>
      </c>
      <c r="R77" s="432">
        <f>Q77-P77</f>
        <v>0</v>
      </c>
      <c r="S77" s="430">
        <f>S6*S36*Faktory!$D$8</f>
        <v>916376.27586206899</v>
      </c>
      <c r="T77" s="431">
        <f>((T67*S36)-(T67*((S36-T36)*(1+$AZ$36))))*Faktory!$D$8</f>
        <v>916376.27586206899</v>
      </c>
      <c r="U77" s="432">
        <f>T77-S77</f>
        <v>0</v>
      </c>
      <c r="V77" s="430">
        <f>V6*V36*Faktory!$D$8</f>
        <v>47291.057875862069</v>
      </c>
      <c r="W77" s="431">
        <f>((W67*V36)-(W67*((V36-W36)*(1+$AZ$36))))*Faktory!$D$8</f>
        <v>47291.057875862069</v>
      </c>
      <c r="X77" s="432">
        <f>W77-V77</f>
        <v>0</v>
      </c>
      <c r="Y77" s="430">
        <f>Y6*Y36*Faktory!$D$8</f>
        <v>26832.705765517243</v>
      </c>
      <c r="Z77" s="431">
        <f>((Z67*Y36)-(Z67*((Y36-Z36)*(1+$AZ$36))))*Faktory!$D$8</f>
        <v>26832.705765517243</v>
      </c>
      <c r="AA77" s="432">
        <f>Z77-Y77</f>
        <v>0</v>
      </c>
      <c r="AB77" s="430">
        <f>AB6*AB36*Faktory!$D$8</f>
        <v>28481.961520551729</v>
      </c>
      <c r="AC77" s="431">
        <f>((AC67*AB36)-(AC67*((AB36-AC36)*(1+$AZ$36))))*Faktory!$D$8</f>
        <v>28481.961520551729</v>
      </c>
      <c r="AD77" s="432">
        <f>AC77-AB77</f>
        <v>0</v>
      </c>
      <c r="AE77" s="430">
        <f>AE6*AE36*Faktory!$D$8</f>
        <v>1076.6414234482759</v>
      </c>
      <c r="AF77" s="431">
        <f>((AF67*AE36)-(AF67*((AE36-AF36)*(1+$AZ$36))))*Faktory!$D$8</f>
        <v>1076.6414234482759</v>
      </c>
      <c r="AG77" s="432">
        <f>AF77-AE77</f>
        <v>0</v>
      </c>
      <c r="AH77" s="430">
        <f>AH6*AH36*Faktory!$D$8</f>
        <v>1850.3751724137933</v>
      </c>
      <c r="AI77" s="431">
        <f>((AI67*AH36)-(AI67*((AH36-AI36)*(1+$AZ$36))))*Faktory!$D$8</f>
        <v>1850.3751724137933</v>
      </c>
      <c r="AJ77" s="432">
        <f>AI77-AH77</f>
        <v>0</v>
      </c>
      <c r="AK77" s="430">
        <f>AK6*AK36*Faktory!$D$8</f>
        <v>1200.855724137931</v>
      </c>
      <c r="AL77" s="431">
        <f>((AL67*AK36)-(AL67*((AK36-AL36)*(1+$AZ$36))))*Faktory!$D$8</f>
        <v>1200.855724137931</v>
      </c>
      <c r="AM77" s="432">
        <f>AL77-AK77</f>
        <v>0</v>
      </c>
      <c r="AN77" s="430">
        <f>AN6*AN36*Faktory!$D$8</f>
        <v>476.31426206896555</v>
      </c>
      <c r="AO77" s="431">
        <f>((AO67*AN36)-(AO67*((AN36-AO36)*(1+$AZ$36))))*Faktory!$D$8</f>
        <v>476.31426206896555</v>
      </c>
      <c r="AP77" s="432">
        <f>AO77-AN77</f>
        <v>0</v>
      </c>
      <c r="AQ77" s="430">
        <f>AQ6*AQ36*Faktory!$D$8</f>
        <v>969.24413793103474</v>
      </c>
      <c r="AR77" s="431">
        <f>((AR67*AQ36)-(AR67*((AQ36-AR36)*(1+$AZ$36))))*Faktory!$D$8</f>
        <v>969.24413793103474</v>
      </c>
      <c r="AS77" s="432">
        <f>AR77-AQ77</f>
        <v>0</v>
      </c>
      <c r="AT77" s="430">
        <f>AT6*AT36*Faktory!$D$8</f>
        <v>3043.6783448275864</v>
      </c>
      <c r="AU77" s="431">
        <f>((AU67*AT36)-(AU67*((AT36-AU36)*(1+$AZ$36))))*Faktory!$D$8</f>
        <v>3043.6783448275864</v>
      </c>
      <c r="AV77" s="432">
        <f>AU77-AT77</f>
        <v>0</v>
      </c>
      <c r="AW77" s="430">
        <f>AW6*AW36*Faktory!$D$8</f>
        <v>857.96987586206887</v>
      </c>
      <c r="AX77" s="431">
        <f>((AX67*AW36)-(AX67*((AW36-AX36)*(1+$AZ$36))))*Faktory!$D$8</f>
        <v>857.96987586206887</v>
      </c>
      <c r="AY77" s="432">
        <f>AX77-AW77</f>
        <v>0</v>
      </c>
    </row>
    <row r="78" spans="1:52" ht="16">
      <c r="A78" s="806"/>
      <c r="B78" s="808"/>
      <c r="C78" s="409" t="s">
        <v>116</v>
      </c>
      <c r="D78" s="410">
        <f t="shared" si="121"/>
        <v>7386838.5987508958</v>
      </c>
      <c r="E78" s="411">
        <f t="shared" si="122"/>
        <v>7386838.5987508958</v>
      </c>
      <c r="F78" s="412">
        <f t="shared" si="123"/>
        <v>0</v>
      </c>
      <c r="G78" s="419">
        <f>G7*G37*Faktory!$D$8</f>
        <v>1812612.4137931035</v>
      </c>
      <c r="H78" s="420">
        <f>((H68*G37)-(H68*((G37-H37)*(1+$AZ$36))))*Faktory!$D$8</f>
        <v>1812612.4137931035</v>
      </c>
      <c r="I78" s="361">
        <f t="shared" ref="I78:I96" si="124">H78-G78</f>
        <v>0</v>
      </c>
      <c r="J78" s="420">
        <f>J7*J37*Faktory!$D$8</f>
        <v>22183.35492413793</v>
      </c>
      <c r="K78" s="420">
        <f>((K68*J37)-(K68*((J37-K37)*(1+$AZ$36))))*Faktory!$D$8</f>
        <v>22183.35492413793</v>
      </c>
      <c r="L78" s="361">
        <f t="shared" ref="L78:L96" si="125">K78-J78</f>
        <v>0</v>
      </c>
      <c r="M78" s="420">
        <f>M7*M37*Faktory!$D$8</f>
        <v>4440900.4137931028</v>
      </c>
      <c r="N78" s="420">
        <f>((N68*M37)-(N68*((M37-N37)*(1+$AZ$36))))*Faktory!$D$8</f>
        <v>4440900.4137931028</v>
      </c>
      <c r="O78" s="361">
        <f t="shared" ref="O78:O96" si="126">N78-M78</f>
        <v>0</v>
      </c>
      <c r="P78" s="420">
        <f>P7*P37*Faktory!$D$8</f>
        <v>82685.336275862079</v>
      </c>
      <c r="Q78" s="421">
        <f>((Q68*P37)-(Q68*((P37-Q37)*(1+$AZ$36))))*Faktory!$D$8</f>
        <v>82685.336275862079</v>
      </c>
      <c r="R78" s="363">
        <f t="shared" ref="R78:R96" si="127">Q78-P78</f>
        <v>0</v>
      </c>
      <c r="S78" s="420">
        <f>S7*S37*Faktory!$D$8</f>
        <v>916376.27586206899</v>
      </c>
      <c r="T78" s="421">
        <f>((T68*S37)-(T68*((S37-T37)*(1+$AZ$36))))*Faktory!$D$8</f>
        <v>916376.27586206899</v>
      </c>
      <c r="U78" s="363">
        <f t="shared" ref="U78:U96" si="128">T78-S78</f>
        <v>0</v>
      </c>
      <c r="V78" s="420">
        <f>V7*V37*Faktory!$D$8</f>
        <v>47291.057875862069</v>
      </c>
      <c r="W78" s="421">
        <f>((W68*V37)-(W68*((V37-W37)*(1+$AZ$36))))*Faktory!$D$8</f>
        <v>47291.057875862069</v>
      </c>
      <c r="X78" s="363">
        <f t="shared" ref="X78:X96" si="129">W78-V78</f>
        <v>0</v>
      </c>
      <c r="Y78" s="420">
        <f>Y7*Y37*Faktory!$D$8</f>
        <v>26832.705765517243</v>
      </c>
      <c r="Z78" s="421">
        <f>((Z68*Y37)-(Z68*((Y37-Z37)*(1+$AZ$36))))*Faktory!$D$8</f>
        <v>26832.705765517243</v>
      </c>
      <c r="AA78" s="363">
        <f t="shared" ref="AA78:AA96" si="130">Z78-Y78</f>
        <v>0</v>
      </c>
      <c r="AB78" s="420">
        <f>AB7*AB37*Faktory!$D$8</f>
        <v>28481.961520551729</v>
      </c>
      <c r="AC78" s="421">
        <f>((AC68*AB37)-(AC68*((AB37-AC37)*(1+$AZ$36))))*Faktory!$D$8</f>
        <v>28481.961520551729</v>
      </c>
      <c r="AD78" s="363">
        <f t="shared" ref="AD78:AD96" si="131">AC78-AB78</f>
        <v>0</v>
      </c>
      <c r="AE78" s="420">
        <f>AE7*AE37*Faktory!$D$8</f>
        <v>1076.6414234482759</v>
      </c>
      <c r="AF78" s="421">
        <f>((AF68*AE37)-(AF68*((AE37-AF37)*(1+$AZ$36))))*Faktory!$D$8</f>
        <v>1076.6414234482759</v>
      </c>
      <c r="AG78" s="363">
        <f t="shared" ref="AG78:AG96" si="132">AF78-AE78</f>
        <v>0</v>
      </c>
      <c r="AH78" s="420">
        <f>AH7*AH37*Faktory!$D$8</f>
        <v>1850.3751724137933</v>
      </c>
      <c r="AI78" s="421">
        <f>((AI68*AH37)-(AI68*((AH37-AI37)*(1+$AZ$36))))*Faktory!$D$8</f>
        <v>1850.3751724137933</v>
      </c>
      <c r="AJ78" s="363">
        <f t="shared" ref="AJ78:AJ96" si="133">AI78-AH78</f>
        <v>0</v>
      </c>
      <c r="AK78" s="420">
        <f>AK7*AK37*Faktory!$D$8</f>
        <v>1200.855724137931</v>
      </c>
      <c r="AL78" s="421">
        <f>((AL68*AK37)-(AL68*((AK37-AL37)*(1+$AZ$36))))*Faktory!$D$8</f>
        <v>1200.855724137931</v>
      </c>
      <c r="AM78" s="363">
        <f t="shared" ref="AM78:AM96" si="134">AL78-AK78</f>
        <v>0</v>
      </c>
      <c r="AN78" s="420">
        <f>AN7*AN37*Faktory!$D$8</f>
        <v>476.31426206896555</v>
      </c>
      <c r="AO78" s="421">
        <f>((AO68*AN37)-(AO68*((AN37-AO37)*(1+$AZ$36))))*Faktory!$D$8</f>
        <v>476.31426206896555</v>
      </c>
      <c r="AP78" s="363">
        <f t="shared" ref="AP78:AP96" si="135">AO78-AN78</f>
        <v>0</v>
      </c>
      <c r="AQ78" s="420">
        <f>AQ7*AQ37*Faktory!$D$8</f>
        <v>969.24413793103474</v>
      </c>
      <c r="AR78" s="421">
        <f>((AR68*AQ37)-(AR68*((AQ37-AR37)*(1+$AZ$36))))*Faktory!$D$8</f>
        <v>969.24413793103474</v>
      </c>
      <c r="AS78" s="363">
        <f t="shared" ref="AS78:AS96" si="136">AR78-AQ78</f>
        <v>0</v>
      </c>
      <c r="AT78" s="420">
        <f>AT7*AT37*Faktory!$D$8</f>
        <v>3043.6783448275864</v>
      </c>
      <c r="AU78" s="421">
        <f>((AU68*AT37)-(AU68*((AT37-AU37)*(1+$AZ$36))))*Faktory!$D$8</f>
        <v>3043.6783448275864</v>
      </c>
      <c r="AV78" s="363">
        <f t="shared" ref="AV78:AV96" si="137">AU78-AT78</f>
        <v>0</v>
      </c>
      <c r="AW78" s="420">
        <f>AW7*AW37*Faktory!$D$8</f>
        <v>857.96987586206887</v>
      </c>
      <c r="AX78" s="421">
        <f>((AX68*AW37)-(AX68*((AW37-AX37)*(1+$AZ$36))))*Faktory!$D$8</f>
        <v>857.96987586206887</v>
      </c>
      <c r="AY78" s="363">
        <f t="shared" ref="AY78:AY96" si="138">AX78-AW78</f>
        <v>0</v>
      </c>
    </row>
    <row r="79" spans="1:52" ht="16">
      <c r="A79" s="806"/>
      <c r="B79" s="808"/>
      <c r="C79" s="409" t="s">
        <v>117</v>
      </c>
      <c r="D79" s="410">
        <f t="shared" si="121"/>
        <v>7386838.5987508958</v>
      </c>
      <c r="E79" s="411">
        <f t="shared" si="122"/>
        <v>44588.311785931037</v>
      </c>
      <c r="F79" s="412">
        <f t="shared" si="123"/>
        <v>-7342250.2869649641</v>
      </c>
      <c r="G79" s="419">
        <f>G8*G38*Faktory!$D$8</f>
        <v>1812612.4137931035</v>
      </c>
      <c r="H79" s="420">
        <f>((H69*G38)-(H69*((G38-H38)*(1+$AZ$36))))*Faktory!$D$8</f>
        <v>0</v>
      </c>
      <c r="I79" s="361">
        <f t="shared" si="124"/>
        <v>-1812612.4137931035</v>
      </c>
      <c r="J79" s="420">
        <f>J8*J38*Faktory!$D$8</f>
        <v>22183.35492413793</v>
      </c>
      <c r="K79" s="420">
        <f>((K69*J38)-(K69*((J38-K38)*(1+$AZ$36))))*Faktory!$D$8</f>
        <v>0</v>
      </c>
      <c r="L79" s="361">
        <f t="shared" si="125"/>
        <v>-22183.35492413793</v>
      </c>
      <c r="M79" s="420">
        <f>M8*M38*Faktory!$D$8</f>
        <v>4440900.4137931028</v>
      </c>
      <c r="N79" s="420">
        <f>((N69*M38)-(N69*((M38-N38)*(1+$AZ$36))))*Faktory!$D$8</f>
        <v>0</v>
      </c>
      <c r="O79" s="361">
        <f t="shared" si="126"/>
        <v>-4440900.4137931028</v>
      </c>
      <c r="P79" s="420">
        <f>P8*P38*Faktory!$D$8</f>
        <v>82685.336275862079</v>
      </c>
      <c r="Q79" s="421">
        <f>((Q69*P38)-(Q69*((P38-Q38)*(1+$AZ$36))))*Faktory!$D$8</f>
        <v>0</v>
      </c>
      <c r="R79" s="363">
        <f t="shared" si="127"/>
        <v>-82685.336275862079</v>
      </c>
      <c r="S79" s="420">
        <f>S8*S38*Faktory!$D$8</f>
        <v>916376.27586206899</v>
      </c>
      <c r="T79" s="421">
        <f>((T69*S38)-(T69*((S38-T38)*(1+$AZ$36))))*Faktory!$D$8</f>
        <v>0</v>
      </c>
      <c r="U79" s="363">
        <f t="shared" si="128"/>
        <v>-916376.27586206899</v>
      </c>
      <c r="V79" s="420">
        <f>V8*V38*Faktory!$D$8</f>
        <v>47291.057875862069</v>
      </c>
      <c r="W79" s="421">
        <f>((W69*V38)-(W69*((V38-W38)*(1+$AZ$36))))*Faktory!$D$8</f>
        <v>11274.449213793099</v>
      </c>
      <c r="X79" s="363">
        <f t="shared" si="129"/>
        <v>-36016.608662068968</v>
      </c>
      <c r="Y79" s="420">
        <f>Y8*Y38*Faktory!$D$8</f>
        <v>26832.705765517243</v>
      </c>
      <c r="Z79" s="421">
        <f>((Z69*Y38)-(Z69*((Y38-Z38)*(1+$AZ$36))))*Faktory!$D$8</f>
        <v>22041.366951724143</v>
      </c>
      <c r="AA79" s="363">
        <f t="shared" si="130"/>
        <v>-4791.3388137930997</v>
      </c>
      <c r="AB79" s="420">
        <f>AB8*AB38*Faktory!$D$8</f>
        <v>28481.961520551729</v>
      </c>
      <c r="AC79" s="421">
        <f>((AC69*AB38)-(AC69*((AB38-AC38)*(1+$AZ$36))))*Faktory!$D$8</f>
        <v>10539.243548689657</v>
      </c>
      <c r="AD79" s="363">
        <f t="shared" si="131"/>
        <v>-17942.717971862072</v>
      </c>
      <c r="AE79" s="420">
        <f>AE8*AE38*Faktory!$D$8</f>
        <v>1076.6414234482759</v>
      </c>
      <c r="AF79" s="421">
        <f>((AF69*AE38)-(AF69*((AE38-AF38)*(1+$AZ$36))))*Faktory!$D$8</f>
        <v>733.25207172413798</v>
      </c>
      <c r="AG79" s="363">
        <f t="shared" si="132"/>
        <v>-343.3893517241379</v>
      </c>
      <c r="AH79" s="420">
        <f>AH8*AH38*Faktory!$D$8</f>
        <v>1850.3751724137933</v>
      </c>
      <c r="AI79" s="421">
        <f>((AI69*AH38)-(AI69*((AH38-AI38)*(1+$AZ$36))))*Faktory!$D$8</f>
        <v>0</v>
      </c>
      <c r="AJ79" s="363">
        <f t="shared" si="133"/>
        <v>-1850.3751724137933</v>
      </c>
      <c r="AK79" s="420">
        <f>AK8*AK38*Faktory!$D$8</f>
        <v>1200.855724137931</v>
      </c>
      <c r="AL79" s="421">
        <f>((AL69*AK38)-(AL69*((AK38-AL38)*(1+$AZ$36))))*Faktory!$D$8</f>
        <v>0</v>
      </c>
      <c r="AM79" s="363">
        <f t="shared" si="134"/>
        <v>-1200.855724137931</v>
      </c>
      <c r="AN79" s="420">
        <f>AN8*AN38*Faktory!$D$8</f>
        <v>476.31426206896555</v>
      </c>
      <c r="AO79" s="421">
        <f>((AO69*AN38)-(AO69*((AN38-AO38)*(1+$AZ$36))))*Faktory!$D$8</f>
        <v>0</v>
      </c>
      <c r="AP79" s="363">
        <f t="shared" si="135"/>
        <v>-476.31426206896555</v>
      </c>
      <c r="AQ79" s="420">
        <f>AQ8*AQ38*Faktory!$D$8</f>
        <v>969.24413793103474</v>
      </c>
      <c r="AR79" s="421">
        <f>((AR69*AQ38)-(AR69*((AQ38-AR38)*(1+$AZ$36))))*Faktory!$D$8</f>
        <v>0</v>
      </c>
      <c r="AS79" s="363">
        <f t="shared" si="136"/>
        <v>-969.24413793103474</v>
      </c>
      <c r="AT79" s="420">
        <f>AT8*AT38*Faktory!$D$8</f>
        <v>3043.6783448275864</v>
      </c>
      <c r="AU79" s="421">
        <f>((AU69*AT38)-(AU69*((AT38-AU38)*(1+$AZ$36))))*Faktory!$D$8</f>
        <v>0</v>
      </c>
      <c r="AV79" s="363">
        <f t="shared" si="137"/>
        <v>-3043.6783448275864</v>
      </c>
      <c r="AW79" s="420">
        <f>AW8*AW38*Faktory!$D$8</f>
        <v>857.96987586206887</v>
      </c>
      <c r="AX79" s="421">
        <f>((AX69*AW38)-(AX69*((AW38-AX38)*(1+$AZ$36))))*Faktory!$D$8</f>
        <v>0</v>
      </c>
      <c r="AY79" s="363">
        <f t="shared" si="138"/>
        <v>-857.96987586206887</v>
      </c>
    </row>
    <row r="80" spans="1:52" ht="16">
      <c r="A80" s="806"/>
      <c r="B80" s="808"/>
      <c r="C80" s="409" t="s">
        <v>118</v>
      </c>
      <c r="D80" s="410">
        <f t="shared" si="121"/>
        <v>7386838.5987508958</v>
      </c>
      <c r="E80" s="411">
        <f t="shared" si="122"/>
        <v>44588.311785931037</v>
      </c>
      <c r="F80" s="412">
        <f t="shared" si="123"/>
        <v>-7342250.2869649641</v>
      </c>
      <c r="G80" s="419">
        <f>G9*G39*Faktory!$D$8</f>
        <v>1812612.4137931035</v>
      </c>
      <c r="H80" s="420">
        <f>((H70*G39)-(H70*((G39-H39)*(1+$AZ$36))))*Faktory!$D$8</f>
        <v>0</v>
      </c>
      <c r="I80" s="361">
        <f t="shared" si="124"/>
        <v>-1812612.4137931035</v>
      </c>
      <c r="J80" s="420">
        <f>J9*J39*Faktory!$D$8</f>
        <v>22183.35492413793</v>
      </c>
      <c r="K80" s="420">
        <f>((K70*J39)-(K70*((J39-K39)*(1+$AZ$36))))*Faktory!$D$8</f>
        <v>0</v>
      </c>
      <c r="L80" s="361">
        <f t="shared" si="125"/>
        <v>-22183.35492413793</v>
      </c>
      <c r="M80" s="420">
        <f>M9*M39*Faktory!$D$8</f>
        <v>4440900.4137931028</v>
      </c>
      <c r="N80" s="420">
        <f>((N70*M39)-(N70*((M39-N39)*(1+$AZ$36))))*Faktory!$D$8</f>
        <v>0</v>
      </c>
      <c r="O80" s="361">
        <f t="shared" si="126"/>
        <v>-4440900.4137931028</v>
      </c>
      <c r="P80" s="420">
        <f>P9*P39*Faktory!$D$8</f>
        <v>82685.336275862079</v>
      </c>
      <c r="Q80" s="421">
        <f>((Q70*P39)-(Q70*((P39-Q39)*(1+$AZ$36))))*Faktory!$D$8</f>
        <v>0</v>
      </c>
      <c r="R80" s="363">
        <f t="shared" si="127"/>
        <v>-82685.336275862079</v>
      </c>
      <c r="S80" s="420">
        <f>S9*S39*Faktory!$D$8</f>
        <v>916376.27586206899</v>
      </c>
      <c r="T80" s="421">
        <f>((T70*S39)-(T70*((S39-T39)*(1+$AZ$36))))*Faktory!$D$8</f>
        <v>0</v>
      </c>
      <c r="U80" s="363">
        <f t="shared" si="128"/>
        <v>-916376.27586206899</v>
      </c>
      <c r="V80" s="420">
        <f>V9*V39*Faktory!$D$8</f>
        <v>47291.057875862069</v>
      </c>
      <c r="W80" s="421">
        <f>((W70*V39)-(W70*((V39-W39)*(1+$AZ$36))))*Faktory!$D$8</f>
        <v>11274.449213793099</v>
      </c>
      <c r="X80" s="363">
        <f t="shared" si="129"/>
        <v>-36016.608662068968</v>
      </c>
      <c r="Y80" s="420">
        <f>Y9*Y39*Faktory!$D$8</f>
        <v>26832.705765517243</v>
      </c>
      <c r="Z80" s="421">
        <f>((Z70*Y39)-(Z70*((Y39-Z39)*(1+$AZ$36))))*Faktory!$D$8</f>
        <v>22041.366951724143</v>
      </c>
      <c r="AA80" s="363">
        <f t="shared" si="130"/>
        <v>-4791.3388137930997</v>
      </c>
      <c r="AB80" s="420">
        <f>AB9*AB39*Faktory!$D$8</f>
        <v>28481.961520551729</v>
      </c>
      <c r="AC80" s="421">
        <f>((AC70*AB39)-(AC70*((AB39-AC39)*(1+$AZ$36))))*Faktory!$D$8</f>
        <v>10539.243548689657</v>
      </c>
      <c r="AD80" s="363">
        <f t="shared" si="131"/>
        <v>-17942.717971862072</v>
      </c>
      <c r="AE80" s="420">
        <f>AE9*AE39*Faktory!$D$8</f>
        <v>1076.6414234482759</v>
      </c>
      <c r="AF80" s="421">
        <f>((AF70*AE39)-(AF70*((AE39-AF39)*(1+$AZ$36))))*Faktory!$D$8</f>
        <v>733.25207172413798</v>
      </c>
      <c r="AG80" s="363">
        <f t="shared" si="132"/>
        <v>-343.3893517241379</v>
      </c>
      <c r="AH80" s="420">
        <f>AH9*AH39*Faktory!$D$8</f>
        <v>1850.3751724137933</v>
      </c>
      <c r="AI80" s="421">
        <f>((AI70*AH39)-(AI70*((AH39-AI39)*(1+$AZ$36))))*Faktory!$D$8</f>
        <v>0</v>
      </c>
      <c r="AJ80" s="363">
        <f t="shared" si="133"/>
        <v>-1850.3751724137933</v>
      </c>
      <c r="AK80" s="420">
        <f>AK9*AK39*Faktory!$D$8</f>
        <v>1200.855724137931</v>
      </c>
      <c r="AL80" s="421">
        <f>((AL70*AK39)-(AL70*((AK39-AL39)*(1+$AZ$36))))*Faktory!$D$8</f>
        <v>0</v>
      </c>
      <c r="AM80" s="363">
        <f t="shared" si="134"/>
        <v>-1200.855724137931</v>
      </c>
      <c r="AN80" s="420">
        <f>AN9*AN39*Faktory!$D$8</f>
        <v>476.31426206896555</v>
      </c>
      <c r="AO80" s="421">
        <f>((AO70*AN39)-(AO70*((AN39-AO39)*(1+$AZ$36))))*Faktory!$D$8</f>
        <v>0</v>
      </c>
      <c r="AP80" s="363">
        <f t="shared" si="135"/>
        <v>-476.31426206896555</v>
      </c>
      <c r="AQ80" s="420">
        <f>AQ9*AQ39*Faktory!$D$8</f>
        <v>969.24413793103474</v>
      </c>
      <c r="AR80" s="421">
        <f>((AR70*AQ39)-(AR70*((AQ39-AR39)*(1+$AZ$36))))*Faktory!$D$8</f>
        <v>0</v>
      </c>
      <c r="AS80" s="363">
        <f t="shared" si="136"/>
        <v>-969.24413793103474</v>
      </c>
      <c r="AT80" s="420">
        <f>AT9*AT39*Faktory!$D$8</f>
        <v>3043.6783448275864</v>
      </c>
      <c r="AU80" s="421">
        <f>((AU70*AT39)-(AU70*((AT39-AU39)*(1+$AZ$36))))*Faktory!$D$8</f>
        <v>0</v>
      </c>
      <c r="AV80" s="363">
        <f t="shared" si="137"/>
        <v>-3043.6783448275864</v>
      </c>
      <c r="AW80" s="420">
        <f>AW9*AW39*Faktory!$D$8</f>
        <v>857.96987586206887</v>
      </c>
      <c r="AX80" s="421">
        <f>((AX70*AW39)-(AX70*((AW39-AX39)*(1+$AZ$36))))*Faktory!$D$8</f>
        <v>0</v>
      </c>
      <c r="AY80" s="363">
        <f t="shared" si="138"/>
        <v>-857.96987586206887</v>
      </c>
    </row>
    <row r="81" spans="1:51" ht="16">
      <c r="A81" s="806"/>
      <c r="B81" s="808"/>
      <c r="C81" s="409" t="s">
        <v>119</v>
      </c>
      <c r="D81" s="410">
        <f t="shared" si="121"/>
        <v>7386838.5987508958</v>
      </c>
      <c r="E81" s="411">
        <f t="shared" si="122"/>
        <v>44588.311785931037</v>
      </c>
      <c r="F81" s="412">
        <f t="shared" si="123"/>
        <v>-7342250.2869649641</v>
      </c>
      <c r="G81" s="419">
        <f>G10*G40*Faktory!$D$8</f>
        <v>1812612.4137931035</v>
      </c>
      <c r="H81" s="420">
        <f>((H71*G40)-(H71*((G40-H40)*(1+$AZ$36))))*Faktory!$D$8</f>
        <v>0</v>
      </c>
      <c r="I81" s="361">
        <f t="shared" si="124"/>
        <v>-1812612.4137931035</v>
      </c>
      <c r="J81" s="420">
        <f>J10*J40*Faktory!$D$8</f>
        <v>22183.35492413793</v>
      </c>
      <c r="K81" s="420">
        <f>((K71*J40)-(K71*((J40-K40)*(1+$AZ$36))))*Faktory!$D$8</f>
        <v>0</v>
      </c>
      <c r="L81" s="361">
        <f t="shared" si="125"/>
        <v>-22183.35492413793</v>
      </c>
      <c r="M81" s="420">
        <f>M10*M40*Faktory!$D$8</f>
        <v>4440900.4137931028</v>
      </c>
      <c r="N81" s="420">
        <f>((N71*M40)-(N71*((M40-N40)*(1+$AZ$36))))*Faktory!$D$8</f>
        <v>0</v>
      </c>
      <c r="O81" s="361">
        <f t="shared" si="126"/>
        <v>-4440900.4137931028</v>
      </c>
      <c r="P81" s="420">
        <f>P10*P40*Faktory!$D$8</f>
        <v>82685.336275862079</v>
      </c>
      <c r="Q81" s="421">
        <f>((Q71*P40)-(Q71*((P40-Q40)*(1+$AZ$36))))*Faktory!$D$8</f>
        <v>0</v>
      </c>
      <c r="R81" s="363">
        <f t="shared" si="127"/>
        <v>-82685.336275862079</v>
      </c>
      <c r="S81" s="420">
        <f>S10*S40*Faktory!$D$8</f>
        <v>916376.27586206899</v>
      </c>
      <c r="T81" s="421">
        <f>((T71*S40)-(T71*((S40-T40)*(1+$AZ$36))))*Faktory!$D$8</f>
        <v>0</v>
      </c>
      <c r="U81" s="363">
        <f t="shared" si="128"/>
        <v>-916376.27586206899</v>
      </c>
      <c r="V81" s="420">
        <f>V10*V40*Faktory!$D$8</f>
        <v>47291.057875862069</v>
      </c>
      <c r="W81" s="421">
        <f>((W71*V40)-(W71*((V40-W40)*(1+$AZ$36))))*Faktory!$D$8</f>
        <v>11274.449213793099</v>
      </c>
      <c r="X81" s="363">
        <f t="shared" si="129"/>
        <v>-36016.608662068968</v>
      </c>
      <c r="Y81" s="420">
        <f>Y10*Y40*Faktory!$D$8</f>
        <v>26832.705765517243</v>
      </c>
      <c r="Z81" s="421">
        <f>((Z71*Y40)-(Z71*((Y40-Z40)*(1+$AZ$36))))*Faktory!$D$8</f>
        <v>22041.366951724143</v>
      </c>
      <c r="AA81" s="363">
        <f t="shared" si="130"/>
        <v>-4791.3388137930997</v>
      </c>
      <c r="AB81" s="420">
        <f>AB10*AB40*Faktory!$D$8</f>
        <v>28481.961520551729</v>
      </c>
      <c r="AC81" s="421">
        <f>((AC71*AB40)-(AC71*((AB40-AC40)*(1+$AZ$36))))*Faktory!$D$8</f>
        <v>10539.243548689657</v>
      </c>
      <c r="AD81" s="363">
        <f t="shared" si="131"/>
        <v>-17942.717971862072</v>
      </c>
      <c r="AE81" s="420">
        <f>AE10*AE40*Faktory!$D$8</f>
        <v>1076.6414234482759</v>
      </c>
      <c r="AF81" s="421">
        <f>((AF71*AE40)-(AF71*((AE40-AF40)*(1+$AZ$36))))*Faktory!$D$8</f>
        <v>733.25207172413798</v>
      </c>
      <c r="AG81" s="363">
        <f t="shared" si="132"/>
        <v>-343.3893517241379</v>
      </c>
      <c r="AH81" s="420">
        <f>AH10*AH40*Faktory!$D$8</f>
        <v>1850.3751724137933</v>
      </c>
      <c r="AI81" s="421">
        <f>((AI71*AH40)-(AI71*((AH40-AI40)*(1+$AZ$36))))*Faktory!$D$8</f>
        <v>0</v>
      </c>
      <c r="AJ81" s="363">
        <f t="shared" si="133"/>
        <v>-1850.3751724137933</v>
      </c>
      <c r="AK81" s="420">
        <f>AK10*AK40*Faktory!$D$8</f>
        <v>1200.855724137931</v>
      </c>
      <c r="AL81" s="421">
        <f>((AL71*AK40)-(AL71*((AK40-AL40)*(1+$AZ$36))))*Faktory!$D$8</f>
        <v>0</v>
      </c>
      <c r="AM81" s="363">
        <f t="shared" si="134"/>
        <v>-1200.855724137931</v>
      </c>
      <c r="AN81" s="420">
        <f>AN10*AN40*Faktory!$D$8</f>
        <v>476.31426206896555</v>
      </c>
      <c r="AO81" s="421">
        <f>((AO71*AN40)-(AO71*((AN40-AO40)*(1+$AZ$36))))*Faktory!$D$8</f>
        <v>0</v>
      </c>
      <c r="AP81" s="363">
        <f t="shared" si="135"/>
        <v>-476.31426206896555</v>
      </c>
      <c r="AQ81" s="420">
        <f>AQ10*AQ40*Faktory!$D$8</f>
        <v>969.24413793103474</v>
      </c>
      <c r="AR81" s="421">
        <f>((AR71*AQ40)-(AR71*((AQ40-AR40)*(1+$AZ$36))))*Faktory!$D$8</f>
        <v>0</v>
      </c>
      <c r="AS81" s="363">
        <f t="shared" si="136"/>
        <v>-969.24413793103474</v>
      </c>
      <c r="AT81" s="420">
        <f>AT10*AT40*Faktory!$D$8</f>
        <v>3043.6783448275864</v>
      </c>
      <c r="AU81" s="421">
        <f>((AU71*AT40)-(AU71*((AT40-AU40)*(1+$AZ$36))))*Faktory!$D$8</f>
        <v>0</v>
      </c>
      <c r="AV81" s="363">
        <f t="shared" si="137"/>
        <v>-3043.6783448275864</v>
      </c>
      <c r="AW81" s="420">
        <f>AW10*AW40*Faktory!$D$8</f>
        <v>857.96987586206887</v>
      </c>
      <c r="AX81" s="421">
        <f>((AX71*AW40)-(AX71*((AW40-AX40)*(1+$AZ$36))))*Faktory!$D$8</f>
        <v>0</v>
      </c>
      <c r="AY81" s="363">
        <f t="shared" si="138"/>
        <v>-857.96987586206887</v>
      </c>
    </row>
    <row r="82" spans="1:51" ht="16">
      <c r="A82" s="806"/>
      <c r="B82" s="808"/>
      <c r="C82" s="409" t="s">
        <v>120</v>
      </c>
      <c r="D82" s="410">
        <f t="shared" si="121"/>
        <v>7386838.5987508958</v>
      </c>
      <c r="E82" s="411">
        <f t="shared" si="122"/>
        <v>44588.311785931037</v>
      </c>
      <c r="F82" s="412">
        <f t="shared" si="123"/>
        <v>-7342250.2869649641</v>
      </c>
      <c r="G82" s="419">
        <f>G11*G41*Faktory!$D$8</f>
        <v>1812612.4137931035</v>
      </c>
      <c r="H82" s="420">
        <f>((H72*G41)-(H72*((G41-H41)*(1+$AZ$36))))*Faktory!$D$8</f>
        <v>0</v>
      </c>
      <c r="I82" s="361">
        <f t="shared" si="124"/>
        <v>-1812612.4137931035</v>
      </c>
      <c r="J82" s="420">
        <f>J11*J41*Faktory!$D$8</f>
        <v>22183.35492413793</v>
      </c>
      <c r="K82" s="420">
        <f>((K72*J41)-(K72*((J41-K41)*(1+$AZ$36))))*Faktory!$D$8</f>
        <v>0</v>
      </c>
      <c r="L82" s="361">
        <f t="shared" si="125"/>
        <v>-22183.35492413793</v>
      </c>
      <c r="M82" s="420">
        <f>M11*M41*Faktory!$D$8</f>
        <v>4440900.4137931028</v>
      </c>
      <c r="N82" s="420">
        <f>((N72*M41)-(N72*((M41-N41)*(1+$AZ$36))))*Faktory!$D$8</f>
        <v>0</v>
      </c>
      <c r="O82" s="361">
        <f t="shared" si="126"/>
        <v>-4440900.4137931028</v>
      </c>
      <c r="P82" s="420">
        <f>P11*P41*Faktory!$D$8</f>
        <v>82685.336275862079</v>
      </c>
      <c r="Q82" s="421">
        <f>((Q72*P41)-(Q72*((P41-Q41)*(1+$AZ$36))))*Faktory!$D$8</f>
        <v>0</v>
      </c>
      <c r="R82" s="363">
        <f t="shared" si="127"/>
        <v>-82685.336275862079</v>
      </c>
      <c r="S82" s="420">
        <f>S11*S41*Faktory!$D$8</f>
        <v>916376.27586206899</v>
      </c>
      <c r="T82" s="421">
        <f>((T72*S41)-(T72*((S41-T41)*(1+$AZ$36))))*Faktory!$D$8</f>
        <v>0</v>
      </c>
      <c r="U82" s="363">
        <f t="shared" si="128"/>
        <v>-916376.27586206899</v>
      </c>
      <c r="V82" s="420">
        <f>V11*V41*Faktory!$D$8</f>
        <v>47291.057875862069</v>
      </c>
      <c r="W82" s="421">
        <f>((W72*V41)-(W72*((V41-W41)*(1+$AZ$36))))*Faktory!$D$8</f>
        <v>11274.449213793099</v>
      </c>
      <c r="X82" s="363">
        <f t="shared" si="129"/>
        <v>-36016.608662068968</v>
      </c>
      <c r="Y82" s="420">
        <f>Y11*Y41*Faktory!$D$8</f>
        <v>26832.705765517243</v>
      </c>
      <c r="Z82" s="421">
        <f>((Z72*Y41)-(Z72*((Y41-Z41)*(1+$AZ$36))))*Faktory!$D$8</f>
        <v>22041.366951724143</v>
      </c>
      <c r="AA82" s="363">
        <f t="shared" si="130"/>
        <v>-4791.3388137930997</v>
      </c>
      <c r="AB82" s="420">
        <f>AB11*AB41*Faktory!$D$8</f>
        <v>28481.961520551729</v>
      </c>
      <c r="AC82" s="421">
        <f>((AC72*AB41)-(AC72*((AB41-AC41)*(1+$AZ$36))))*Faktory!$D$8</f>
        <v>10539.243548689657</v>
      </c>
      <c r="AD82" s="363">
        <f t="shared" si="131"/>
        <v>-17942.717971862072</v>
      </c>
      <c r="AE82" s="420">
        <f>AE11*AE41*Faktory!$D$8</f>
        <v>1076.6414234482759</v>
      </c>
      <c r="AF82" s="421">
        <f>((AF72*AE41)-(AF72*((AE41-AF41)*(1+$AZ$36))))*Faktory!$D$8</f>
        <v>733.25207172413798</v>
      </c>
      <c r="AG82" s="363">
        <f t="shared" si="132"/>
        <v>-343.3893517241379</v>
      </c>
      <c r="AH82" s="420">
        <f>AH11*AH41*Faktory!$D$8</f>
        <v>1850.3751724137933</v>
      </c>
      <c r="AI82" s="421">
        <f>((AI72*AH41)-(AI72*((AH41-AI41)*(1+$AZ$36))))*Faktory!$D$8</f>
        <v>0</v>
      </c>
      <c r="AJ82" s="363">
        <f t="shared" si="133"/>
        <v>-1850.3751724137933</v>
      </c>
      <c r="AK82" s="420">
        <f>AK11*AK41*Faktory!$D$8</f>
        <v>1200.855724137931</v>
      </c>
      <c r="AL82" s="421">
        <f>((AL72*AK41)-(AL72*((AK41-AL41)*(1+$AZ$36))))*Faktory!$D$8</f>
        <v>0</v>
      </c>
      <c r="AM82" s="363">
        <f t="shared" si="134"/>
        <v>-1200.855724137931</v>
      </c>
      <c r="AN82" s="420">
        <f>AN11*AN41*Faktory!$D$8</f>
        <v>476.31426206896555</v>
      </c>
      <c r="AO82" s="421">
        <f>((AO72*AN41)-(AO72*((AN41-AO41)*(1+$AZ$36))))*Faktory!$D$8</f>
        <v>0</v>
      </c>
      <c r="AP82" s="363">
        <f t="shared" si="135"/>
        <v>-476.31426206896555</v>
      </c>
      <c r="AQ82" s="420">
        <f>AQ11*AQ41*Faktory!$D$8</f>
        <v>969.24413793103474</v>
      </c>
      <c r="AR82" s="421">
        <f>((AR72*AQ41)-(AR72*((AQ41-AR41)*(1+$AZ$36))))*Faktory!$D$8</f>
        <v>0</v>
      </c>
      <c r="AS82" s="363">
        <f t="shared" si="136"/>
        <v>-969.24413793103474</v>
      </c>
      <c r="AT82" s="420">
        <f>AT11*AT41*Faktory!$D$8</f>
        <v>3043.6783448275864</v>
      </c>
      <c r="AU82" s="421">
        <f>((AU72*AT41)-(AU72*((AT41-AU41)*(1+$AZ$36))))*Faktory!$D$8</f>
        <v>0</v>
      </c>
      <c r="AV82" s="363">
        <f t="shared" si="137"/>
        <v>-3043.6783448275864</v>
      </c>
      <c r="AW82" s="420">
        <f>AW11*AW41*Faktory!$D$8</f>
        <v>857.96987586206887</v>
      </c>
      <c r="AX82" s="421">
        <f>((AX72*AW41)-(AX72*((AW41-AX41)*(1+$AZ$36))))*Faktory!$D$8</f>
        <v>0</v>
      </c>
      <c r="AY82" s="363">
        <f t="shared" si="138"/>
        <v>-857.96987586206887</v>
      </c>
    </row>
    <row r="83" spans="1:51" ht="16">
      <c r="A83" s="806"/>
      <c r="B83" s="808"/>
      <c r="C83" s="409" t="s">
        <v>121</v>
      </c>
      <c r="D83" s="410">
        <f t="shared" si="121"/>
        <v>7386838.5987508958</v>
      </c>
      <c r="E83" s="411">
        <f t="shared" si="122"/>
        <v>44588.311785931037</v>
      </c>
      <c r="F83" s="412">
        <f t="shared" si="123"/>
        <v>-7342250.2869649641</v>
      </c>
      <c r="G83" s="419">
        <f>G12*G42*Faktory!$D$8</f>
        <v>1812612.4137931035</v>
      </c>
      <c r="H83" s="420">
        <f>((H73*G42)-(H73*((G42-H42)*(1+$AZ$36))))*Faktory!$D$8</f>
        <v>0</v>
      </c>
      <c r="I83" s="361">
        <f t="shared" si="124"/>
        <v>-1812612.4137931035</v>
      </c>
      <c r="J83" s="420">
        <f>J12*J42*Faktory!$D$8</f>
        <v>22183.35492413793</v>
      </c>
      <c r="K83" s="420">
        <f>((K73*J42)-(K73*((J42-K42)*(1+$AZ$36))))*Faktory!$D$8</f>
        <v>0</v>
      </c>
      <c r="L83" s="361">
        <f t="shared" si="125"/>
        <v>-22183.35492413793</v>
      </c>
      <c r="M83" s="420">
        <f>M12*M42*Faktory!$D$8</f>
        <v>4440900.4137931028</v>
      </c>
      <c r="N83" s="420">
        <f>((N73*M42)-(N73*((M42-N42)*(1+$AZ$36))))*Faktory!$D$8</f>
        <v>0</v>
      </c>
      <c r="O83" s="361">
        <f t="shared" si="126"/>
        <v>-4440900.4137931028</v>
      </c>
      <c r="P83" s="420">
        <f>P12*P42*Faktory!$D$8</f>
        <v>82685.336275862079</v>
      </c>
      <c r="Q83" s="421">
        <f>((Q73*P42)-(Q73*((P42-Q42)*(1+$AZ$36))))*Faktory!$D$8</f>
        <v>0</v>
      </c>
      <c r="R83" s="363">
        <f t="shared" si="127"/>
        <v>-82685.336275862079</v>
      </c>
      <c r="S83" s="420">
        <f>S12*S42*Faktory!$D$8</f>
        <v>916376.27586206899</v>
      </c>
      <c r="T83" s="421">
        <f>((T73*S42)-(T73*((S42-T42)*(1+$AZ$36))))*Faktory!$D$8</f>
        <v>0</v>
      </c>
      <c r="U83" s="363">
        <f t="shared" si="128"/>
        <v>-916376.27586206899</v>
      </c>
      <c r="V83" s="420">
        <f>V12*V42*Faktory!$D$8</f>
        <v>47291.057875862069</v>
      </c>
      <c r="W83" s="421">
        <f>((W73*V42)-(W73*((V42-W42)*(1+$AZ$36))))*Faktory!$D$8</f>
        <v>11274.449213793099</v>
      </c>
      <c r="X83" s="363">
        <f t="shared" si="129"/>
        <v>-36016.608662068968</v>
      </c>
      <c r="Y83" s="420">
        <f>Y12*Y42*Faktory!$D$8</f>
        <v>26832.705765517243</v>
      </c>
      <c r="Z83" s="421">
        <f>((Z73*Y42)-(Z73*((Y42-Z42)*(1+$AZ$36))))*Faktory!$D$8</f>
        <v>22041.366951724143</v>
      </c>
      <c r="AA83" s="363">
        <f t="shared" si="130"/>
        <v>-4791.3388137930997</v>
      </c>
      <c r="AB83" s="420">
        <f>AB12*AB42*Faktory!$D$8</f>
        <v>28481.961520551729</v>
      </c>
      <c r="AC83" s="421">
        <f>((AC73*AB42)-(AC73*((AB42-AC42)*(1+$AZ$36))))*Faktory!$D$8</f>
        <v>10539.243548689657</v>
      </c>
      <c r="AD83" s="363">
        <f t="shared" si="131"/>
        <v>-17942.717971862072</v>
      </c>
      <c r="AE83" s="420">
        <f>AE12*AE42*Faktory!$D$8</f>
        <v>1076.6414234482759</v>
      </c>
      <c r="AF83" s="421">
        <f>((AF73*AE42)-(AF73*((AE42-AF42)*(1+$AZ$36))))*Faktory!$D$8</f>
        <v>733.25207172413798</v>
      </c>
      <c r="AG83" s="363">
        <f t="shared" si="132"/>
        <v>-343.3893517241379</v>
      </c>
      <c r="AH83" s="420">
        <f>AH12*AH42*Faktory!$D$8</f>
        <v>1850.3751724137933</v>
      </c>
      <c r="AI83" s="421">
        <f>((AI73*AH42)-(AI73*((AH42-AI42)*(1+$AZ$36))))*Faktory!$D$8</f>
        <v>0</v>
      </c>
      <c r="AJ83" s="363">
        <f t="shared" si="133"/>
        <v>-1850.3751724137933</v>
      </c>
      <c r="AK83" s="420">
        <f>AK12*AK42*Faktory!$D$8</f>
        <v>1200.855724137931</v>
      </c>
      <c r="AL83" s="421">
        <f>((AL73*AK42)-(AL73*((AK42-AL42)*(1+$AZ$36))))*Faktory!$D$8</f>
        <v>0</v>
      </c>
      <c r="AM83" s="363">
        <f t="shared" si="134"/>
        <v>-1200.855724137931</v>
      </c>
      <c r="AN83" s="420">
        <f>AN12*AN42*Faktory!$D$8</f>
        <v>476.31426206896555</v>
      </c>
      <c r="AO83" s="421">
        <f>((AO73*AN42)-(AO73*((AN42-AO42)*(1+$AZ$36))))*Faktory!$D$8</f>
        <v>0</v>
      </c>
      <c r="AP83" s="363">
        <f t="shared" si="135"/>
        <v>-476.31426206896555</v>
      </c>
      <c r="AQ83" s="420">
        <f>AQ12*AQ42*Faktory!$D$8</f>
        <v>969.24413793103474</v>
      </c>
      <c r="AR83" s="421">
        <f>((AR73*AQ42)-(AR73*((AQ42-AR42)*(1+$AZ$36))))*Faktory!$D$8</f>
        <v>0</v>
      </c>
      <c r="AS83" s="363">
        <f t="shared" si="136"/>
        <v>-969.24413793103474</v>
      </c>
      <c r="AT83" s="420">
        <f>AT12*AT42*Faktory!$D$8</f>
        <v>3043.6783448275864</v>
      </c>
      <c r="AU83" s="421">
        <f>((AU73*AT42)-(AU73*((AT42-AU42)*(1+$AZ$36))))*Faktory!$D$8</f>
        <v>0</v>
      </c>
      <c r="AV83" s="363">
        <f t="shared" si="137"/>
        <v>-3043.6783448275864</v>
      </c>
      <c r="AW83" s="420">
        <f>AW12*AW42*Faktory!$D$8</f>
        <v>857.96987586206887</v>
      </c>
      <c r="AX83" s="421">
        <f>((AX73*AW42)-(AX73*((AW42-AX42)*(1+$AZ$36))))*Faktory!$D$8</f>
        <v>0</v>
      </c>
      <c r="AY83" s="363">
        <f t="shared" si="138"/>
        <v>-857.96987586206887</v>
      </c>
    </row>
    <row r="84" spans="1:51" ht="16">
      <c r="A84" s="806"/>
      <c r="B84" s="808"/>
      <c r="C84" s="409" t="s">
        <v>122</v>
      </c>
      <c r="D84" s="410">
        <f t="shared" si="121"/>
        <v>7386838.5987508958</v>
      </c>
      <c r="E84" s="411">
        <f t="shared" si="122"/>
        <v>44588.311785931037</v>
      </c>
      <c r="F84" s="412">
        <f t="shared" si="123"/>
        <v>-7342250.2869649641</v>
      </c>
      <c r="G84" s="419">
        <f>G13*G43*Faktory!$D$8</f>
        <v>1812612.4137931035</v>
      </c>
      <c r="H84" s="420">
        <f>((H74*G43)-(H74*((G43-H43)*(1+$AZ$36))))*Faktory!$D$8</f>
        <v>0</v>
      </c>
      <c r="I84" s="361">
        <f t="shared" si="124"/>
        <v>-1812612.4137931035</v>
      </c>
      <c r="J84" s="420">
        <f>J13*J43*Faktory!$D$8</f>
        <v>22183.35492413793</v>
      </c>
      <c r="K84" s="420">
        <f>((K74*J43)-(K74*((J43-K43)*(1+$AZ$36))))*Faktory!$D$8</f>
        <v>0</v>
      </c>
      <c r="L84" s="361">
        <f t="shared" si="125"/>
        <v>-22183.35492413793</v>
      </c>
      <c r="M84" s="420">
        <f>M13*M43*Faktory!$D$8</f>
        <v>4440900.4137931028</v>
      </c>
      <c r="N84" s="420">
        <f>((N74*M43)-(N74*((M43-N43)*(1+$AZ$36))))*Faktory!$D$8</f>
        <v>0</v>
      </c>
      <c r="O84" s="361">
        <f t="shared" si="126"/>
        <v>-4440900.4137931028</v>
      </c>
      <c r="P84" s="420">
        <f>P13*P43*Faktory!$D$8</f>
        <v>82685.336275862079</v>
      </c>
      <c r="Q84" s="421">
        <f>((Q74*P43)-(Q74*((P43-Q43)*(1+$AZ$36))))*Faktory!$D$8</f>
        <v>0</v>
      </c>
      <c r="R84" s="363">
        <f t="shared" si="127"/>
        <v>-82685.336275862079</v>
      </c>
      <c r="S84" s="420">
        <f>S13*S43*Faktory!$D$8</f>
        <v>916376.27586206899</v>
      </c>
      <c r="T84" s="421">
        <f>((T74*S43)-(T74*((S43-T43)*(1+$AZ$36))))*Faktory!$D$8</f>
        <v>0</v>
      </c>
      <c r="U84" s="363">
        <f t="shared" si="128"/>
        <v>-916376.27586206899</v>
      </c>
      <c r="V84" s="420">
        <f>V13*V43*Faktory!$D$8</f>
        <v>47291.057875862069</v>
      </c>
      <c r="W84" s="421">
        <f>((W74*V43)-(W74*((V43-W43)*(1+$AZ$36))))*Faktory!$D$8</f>
        <v>11274.449213793099</v>
      </c>
      <c r="X84" s="363">
        <f t="shared" si="129"/>
        <v>-36016.608662068968</v>
      </c>
      <c r="Y84" s="420">
        <f>Y13*Y43*Faktory!$D$8</f>
        <v>26832.705765517243</v>
      </c>
      <c r="Z84" s="421">
        <f>((Z74*Y43)-(Z74*((Y43-Z43)*(1+$AZ$36))))*Faktory!$D$8</f>
        <v>22041.366951724143</v>
      </c>
      <c r="AA84" s="363">
        <f t="shared" si="130"/>
        <v>-4791.3388137930997</v>
      </c>
      <c r="AB84" s="420">
        <f>AB13*AB43*Faktory!$D$8</f>
        <v>28481.961520551729</v>
      </c>
      <c r="AC84" s="421">
        <f>((AC74*AB43)-(AC74*((AB43-AC43)*(1+$AZ$36))))*Faktory!$D$8</f>
        <v>10539.243548689657</v>
      </c>
      <c r="AD84" s="363">
        <f t="shared" si="131"/>
        <v>-17942.717971862072</v>
      </c>
      <c r="AE84" s="420">
        <f>AE13*AE43*Faktory!$D$8</f>
        <v>1076.6414234482759</v>
      </c>
      <c r="AF84" s="421">
        <f>((AF74*AE43)-(AF74*((AE43-AF43)*(1+$AZ$36))))*Faktory!$D$8</f>
        <v>733.25207172413798</v>
      </c>
      <c r="AG84" s="363">
        <f t="shared" si="132"/>
        <v>-343.3893517241379</v>
      </c>
      <c r="AH84" s="420">
        <f>AH13*AH43*Faktory!$D$8</f>
        <v>1850.3751724137933</v>
      </c>
      <c r="AI84" s="421">
        <f>((AI74*AH43)-(AI74*((AH43-AI43)*(1+$AZ$36))))*Faktory!$D$8</f>
        <v>0</v>
      </c>
      <c r="AJ84" s="363">
        <f t="shared" si="133"/>
        <v>-1850.3751724137933</v>
      </c>
      <c r="AK84" s="420">
        <f>AK13*AK43*Faktory!$D$8</f>
        <v>1200.855724137931</v>
      </c>
      <c r="AL84" s="421">
        <f>((AL74*AK43)-(AL74*((AK43-AL43)*(1+$AZ$36))))*Faktory!$D$8</f>
        <v>0</v>
      </c>
      <c r="AM84" s="363">
        <f t="shared" si="134"/>
        <v>-1200.855724137931</v>
      </c>
      <c r="AN84" s="420">
        <f>AN13*AN43*Faktory!$D$8</f>
        <v>476.31426206896555</v>
      </c>
      <c r="AO84" s="421">
        <f>((AO74*AN43)-(AO74*((AN43-AO43)*(1+$AZ$36))))*Faktory!$D$8</f>
        <v>0</v>
      </c>
      <c r="AP84" s="363">
        <f t="shared" si="135"/>
        <v>-476.31426206896555</v>
      </c>
      <c r="AQ84" s="420">
        <f>AQ13*AQ43*Faktory!$D$8</f>
        <v>969.24413793103474</v>
      </c>
      <c r="AR84" s="421">
        <f>((AR74*AQ43)-(AR74*((AQ43-AR43)*(1+$AZ$36))))*Faktory!$D$8</f>
        <v>0</v>
      </c>
      <c r="AS84" s="363">
        <f t="shared" si="136"/>
        <v>-969.24413793103474</v>
      </c>
      <c r="AT84" s="420">
        <f>AT13*AT43*Faktory!$D$8</f>
        <v>3043.6783448275864</v>
      </c>
      <c r="AU84" s="421">
        <f>((AU74*AT43)-(AU74*((AT43-AU43)*(1+$AZ$36))))*Faktory!$D$8</f>
        <v>0</v>
      </c>
      <c r="AV84" s="363">
        <f t="shared" si="137"/>
        <v>-3043.6783448275864</v>
      </c>
      <c r="AW84" s="420">
        <f>AW13*AW43*Faktory!$D$8</f>
        <v>857.96987586206887</v>
      </c>
      <c r="AX84" s="421">
        <f>((AX74*AW43)-(AX74*((AW43-AX43)*(1+$AZ$36))))*Faktory!$D$8</f>
        <v>0</v>
      </c>
      <c r="AY84" s="363">
        <f t="shared" si="138"/>
        <v>-857.96987586206887</v>
      </c>
    </row>
    <row r="85" spans="1:51" ht="16">
      <c r="A85" s="806"/>
      <c r="B85" s="808"/>
      <c r="C85" s="409" t="s">
        <v>123</v>
      </c>
      <c r="D85" s="410">
        <f t="shared" si="121"/>
        <v>7386838.5987508958</v>
      </c>
      <c r="E85" s="411">
        <f t="shared" si="122"/>
        <v>44588.311785931037</v>
      </c>
      <c r="F85" s="412">
        <f t="shared" si="123"/>
        <v>-7342250.2869649641</v>
      </c>
      <c r="G85" s="419">
        <f>G14*G44*Faktory!$D$8</f>
        <v>1812612.4137931035</v>
      </c>
      <c r="H85" s="420">
        <f>((H75*G44)-(H75*((G44-H44)*(1+$AZ$36))))*Faktory!$D$8</f>
        <v>0</v>
      </c>
      <c r="I85" s="361">
        <f t="shared" si="124"/>
        <v>-1812612.4137931035</v>
      </c>
      <c r="J85" s="420">
        <f>J14*J44*Faktory!$D$8</f>
        <v>22183.35492413793</v>
      </c>
      <c r="K85" s="420">
        <f>((K75*J44)-(K75*((J44-K44)*(1+$AZ$36))))*Faktory!$D$8</f>
        <v>0</v>
      </c>
      <c r="L85" s="361">
        <f t="shared" si="125"/>
        <v>-22183.35492413793</v>
      </c>
      <c r="M85" s="420">
        <f>M14*M44*Faktory!$D$8</f>
        <v>4440900.4137931028</v>
      </c>
      <c r="N85" s="420">
        <f>((N75*M44)-(N75*((M44-N44)*(1+$AZ$36))))*Faktory!$D$8</f>
        <v>0</v>
      </c>
      <c r="O85" s="361">
        <f t="shared" si="126"/>
        <v>-4440900.4137931028</v>
      </c>
      <c r="P85" s="420">
        <f>P14*P44*Faktory!$D$8</f>
        <v>82685.336275862079</v>
      </c>
      <c r="Q85" s="421">
        <f>((Q75*P44)-(Q75*((P44-Q44)*(1+$AZ$36))))*Faktory!$D$8</f>
        <v>0</v>
      </c>
      <c r="R85" s="363">
        <f t="shared" si="127"/>
        <v>-82685.336275862079</v>
      </c>
      <c r="S85" s="420">
        <f>S14*S44*Faktory!$D$8</f>
        <v>916376.27586206899</v>
      </c>
      <c r="T85" s="421">
        <f>((T75*S44)-(T75*((S44-T44)*(1+$AZ$36))))*Faktory!$D$8</f>
        <v>0</v>
      </c>
      <c r="U85" s="363">
        <f t="shared" si="128"/>
        <v>-916376.27586206899</v>
      </c>
      <c r="V85" s="420">
        <f>V14*V44*Faktory!$D$8</f>
        <v>47291.057875862069</v>
      </c>
      <c r="W85" s="421">
        <f>((W75*V44)-(W75*((V44-W44)*(1+$AZ$36))))*Faktory!$D$8</f>
        <v>11274.449213793099</v>
      </c>
      <c r="X85" s="363">
        <f t="shared" si="129"/>
        <v>-36016.608662068968</v>
      </c>
      <c r="Y85" s="420">
        <f>Y14*Y44*Faktory!$D$8</f>
        <v>26832.705765517243</v>
      </c>
      <c r="Z85" s="421">
        <f>((Z75*Y44)-(Z75*((Y44-Z44)*(1+$AZ$36))))*Faktory!$D$8</f>
        <v>22041.366951724143</v>
      </c>
      <c r="AA85" s="363">
        <f t="shared" si="130"/>
        <v>-4791.3388137930997</v>
      </c>
      <c r="AB85" s="420">
        <f>AB14*AB44*Faktory!$D$8</f>
        <v>28481.961520551729</v>
      </c>
      <c r="AC85" s="421">
        <f>((AC75*AB44)-(AC75*((AB44-AC44)*(1+$AZ$36))))*Faktory!$D$8</f>
        <v>10539.243548689657</v>
      </c>
      <c r="AD85" s="363">
        <f t="shared" si="131"/>
        <v>-17942.717971862072</v>
      </c>
      <c r="AE85" s="420">
        <f>AE14*AE44*Faktory!$D$8</f>
        <v>1076.6414234482759</v>
      </c>
      <c r="AF85" s="421">
        <f>((AF75*AE44)-(AF75*((AE44-AF44)*(1+$AZ$36))))*Faktory!$D$8</f>
        <v>733.25207172413798</v>
      </c>
      <c r="AG85" s="363">
        <f t="shared" si="132"/>
        <v>-343.3893517241379</v>
      </c>
      <c r="AH85" s="420">
        <f>AH14*AH44*Faktory!$D$8</f>
        <v>1850.3751724137933</v>
      </c>
      <c r="AI85" s="421">
        <f>((AI75*AH44)-(AI75*((AH44-AI44)*(1+$AZ$36))))*Faktory!$D$8</f>
        <v>0</v>
      </c>
      <c r="AJ85" s="363">
        <f t="shared" si="133"/>
        <v>-1850.3751724137933</v>
      </c>
      <c r="AK85" s="420">
        <f>AK14*AK44*Faktory!$D$8</f>
        <v>1200.855724137931</v>
      </c>
      <c r="AL85" s="421">
        <f>((AL75*AK44)-(AL75*((AK44-AL44)*(1+$AZ$36))))*Faktory!$D$8</f>
        <v>0</v>
      </c>
      <c r="AM85" s="363">
        <f t="shared" si="134"/>
        <v>-1200.855724137931</v>
      </c>
      <c r="AN85" s="420">
        <f>AN14*AN44*Faktory!$D$8</f>
        <v>476.31426206896555</v>
      </c>
      <c r="AO85" s="421">
        <f>((AO75*AN44)-(AO75*((AN44-AO44)*(1+$AZ$36))))*Faktory!$D$8</f>
        <v>0</v>
      </c>
      <c r="AP85" s="363">
        <f t="shared" si="135"/>
        <v>-476.31426206896555</v>
      </c>
      <c r="AQ85" s="420">
        <f>AQ14*AQ44*Faktory!$D$8</f>
        <v>969.24413793103474</v>
      </c>
      <c r="AR85" s="421">
        <f>((AR75*AQ44)-(AR75*((AQ44-AR44)*(1+$AZ$36))))*Faktory!$D$8</f>
        <v>0</v>
      </c>
      <c r="AS85" s="363">
        <f t="shared" si="136"/>
        <v>-969.24413793103474</v>
      </c>
      <c r="AT85" s="420">
        <f>AT14*AT44*Faktory!$D$8</f>
        <v>3043.6783448275864</v>
      </c>
      <c r="AU85" s="421">
        <f>((AU75*AT44)-(AU75*((AT44-AU44)*(1+$AZ$36))))*Faktory!$D$8</f>
        <v>0</v>
      </c>
      <c r="AV85" s="363">
        <f t="shared" si="137"/>
        <v>-3043.6783448275864</v>
      </c>
      <c r="AW85" s="420">
        <f>AW14*AW44*Faktory!$D$8</f>
        <v>857.96987586206887</v>
      </c>
      <c r="AX85" s="421">
        <f>((AX75*AW44)-(AX75*((AW44-AX44)*(1+$AZ$36))))*Faktory!$D$8</f>
        <v>0</v>
      </c>
      <c r="AY85" s="363">
        <f t="shared" si="138"/>
        <v>-857.96987586206887</v>
      </c>
    </row>
    <row r="86" spans="1:51" ht="17" thickBot="1">
      <c r="A86" s="807"/>
      <c r="B86" s="809"/>
      <c r="C86" s="422" t="s">
        <v>124</v>
      </c>
      <c r="D86" s="423">
        <f t="shared" si="121"/>
        <v>7386838.5987508958</v>
      </c>
      <c r="E86" s="424">
        <f t="shared" si="122"/>
        <v>44588.311785931037</v>
      </c>
      <c r="F86" s="425">
        <f t="shared" si="123"/>
        <v>-7342250.2869649641</v>
      </c>
      <c r="G86" s="426">
        <f>G15*G45*Faktory!$D$8</f>
        <v>1812612.4137931035</v>
      </c>
      <c r="H86" s="427">
        <f>((H76*G45)-(H76*((G45-H45)*(1+$AZ$36))))*Faktory!$D$8</f>
        <v>0</v>
      </c>
      <c r="I86" s="370">
        <f t="shared" si="124"/>
        <v>-1812612.4137931035</v>
      </c>
      <c r="J86" s="427">
        <f>J15*J45*Faktory!$D$8</f>
        <v>22183.35492413793</v>
      </c>
      <c r="K86" s="427">
        <f>((K76*J45)-(K76*((J45-K45)*(1+$AZ$36))))*Faktory!$D$8</f>
        <v>0</v>
      </c>
      <c r="L86" s="370">
        <f t="shared" si="125"/>
        <v>-22183.35492413793</v>
      </c>
      <c r="M86" s="427">
        <f>M15*M45*Faktory!$D$8</f>
        <v>4440900.4137931028</v>
      </c>
      <c r="N86" s="427">
        <f>((N76*M45)-(N76*((M45-N45)*(1+$AZ$36))))*Faktory!$D$8</f>
        <v>0</v>
      </c>
      <c r="O86" s="370">
        <f t="shared" si="126"/>
        <v>-4440900.4137931028</v>
      </c>
      <c r="P86" s="427">
        <f>P15*P45*Faktory!$D$8</f>
        <v>82685.336275862079</v>
      </c>
      <c r="Q86" s="428">
        <f>((Q76*P45)-(Q76*((P45-Q45)*(1+$AZ$36))))*Faktory!$D$8</f>
        <v>0</v>
      </c>
      <c r="R86" s="372">
        <f t="shared" si="127"/>
        <v>-82685.336275862079</v>
      </c>
      <c r="S86" s="427">
        <f>S15*S45*Faktory!$D$8</f>
        <v>916376.27586206899</v>
      </c>
      <c r="T86" s="428">
        <f>((T76*S45)-(T76*((S45-T45)*(1+$AZ$36))))*Faktory!$D$8</f>
        <v>0</v>
      </c>
      <c r="U86" s="372">
        <f t="shared" si="128"/>
        <v>-916376.27586206899</v>
      </c>
      <c r="V86" s="427">
        <f>V15*V45*Faktory!$D$8</f>
        <v>47291.057875862069</v>
      </c>
      <c r="W86" s="428">
        <f>((W76*V45)-(W76*((V45-W45)*(1+$AZ$36))))*Faktory!$D$8</f>
        <v>11274.449213793099</v>
      </c>
      <c r="X86" s="372">
        <f t="shared" si="129"/>
        <v>-36016.608662068968</v>
      </c>
      <c r="Y86" s="427">
        <f>Y15*Y45*Faktory!$D$8</f>
        <v>26832.705765517243</v>
      </c>
      <c r="Z86" s="428">
        <f>((Z76*Y45)-(Z76*((Y45-Z45)*(1+$AZ$36))))*Faktory!$D$8</f>
        <v>22041.366951724143</v>
      </c>
      <c r="AA86" s="372">
        <f t="shared" si="130"/>
        <v>-4791.3388137930997</v>
      </c>
      <c r="AB86" s="427">
        <f>AB15*AB45*Faktory!$D$8</f>
        <v>28481.961520551729</v>
      </c>
      <c r="AC86" s="428">
        <f>((AC76*AB45)-(AC76*((AB45-AC45)*(1+$AZ$36))))*Faktory!$D$8</f>
        <v>10539.243548689657</v>
      </c>
      <c r="AD86" s="372">
        <f t="shared" si="131"/>
        <v>-17942.717971862072</v>
      </c>
      <c r="AE86" s="427">
        <f>AE15*AE45*Faktory!$D$8</f>
        <v>1076.6414234482759</v>
      </c>
      <c r="AF86" s="428">
        <f>((AF76*AE45)-(AF76*((AE45-AF45)*(1+$AZ$36))))*Faktory!$D$8</f>
        <v>733.25207172413798</v>
      </c>
      <c r="AG86" s="372">
        <f t="shared" si="132"/>
        <v>-343.3893517241379</v>
      </c>
      <c r="AH86" s="427">
        <f>AH15*AH45*Faktory!$D$8</f>
        <v>1850.3751724137933</v>
      </c>
      <c r="AI86" s="428">
        <f>((AI76*AH45)-(AI76*((AH45-AI45)*(1+$AZ$36))))*Faktory!$D$8</f>
        <v>0</v>
      </c>
      <c r="AJ86" s="372">
        <f t="shared" si="133"/>
        <v>-1850.3751724137933</v>
      </c>
      <c r="AK86" s="427">
        <f>AK15*AK45*Faktory!$D$8</f>
        <v>1200.855724137931</v>
      </c>
      <c r="AL86" s="428">
        <f>((AL76*AK45)-(AL76*((AK45-AL45)*(1+$AZ$36))))*Faktory!$D$8</f>
        <v>0</v>
      </c>
      <c r="AM86" s="372">
        <f t="shared" si="134"/>
        <v>-1200.855724137931</v>
      </c>
      <c r="AN86" s="427">
        <f>AN15*AN45*Faktory!$D$8</f>
        <v>476.31426206896555</v>
      </c>
      <c r="AO86" s="428">
        <f>((AO76*AN45)-(AO76*((AN45-AO45)*(1+$AZ$36))))*Faktory!$D$8</f>
        <v>0</v>
      </c>
      <c r="AP86" s="372">
        <f t="shared" si="135"/>
        <v>-476.31426206896555</v>
      </c>
      <c r="AQ86" s="427">
        <f>AQ15*AQ45*Faktory!$D$8</f>
        <v>969.24413793103474</v>
      </c>
      <c r="AR86" s="428">
        <f>((AR76*AQ45)-(AR76*((AQ45-AR45)*(1+$AZ$36))))*Faktory!$D$8</f>
        <v>0</v>
      </c>
      <c r="AS86" s="372">
        <f t="shared" si="136"/>
        <v>-969.24413793103474</v>
      </c>
      <c r="AT86" s="427">
        <f>AT15*AT45*Faktory!$D$8</f>
        <v>3043.6783448275864</v>
      </c>
      <c r="AU86" s="428">
        <f>((AU76*AT45)-(AU76*((AT45-AU45)*(1+$AZ$36))))*Faktory!$D$8</f>
        <v>0</v>
      </c>
      <c r="AV86" s="372">
        <f t="shared" si="137"/>
        <v>-3043.6783448275864</v>
      </c>
      <c r="AW86" s="427">
        <f>AW15*AW45*Faktory!$D$8</f>
        <v>857.96987586206887</v>
      </c>
      <c r="AX86" s="428">
        <f>((AX76*AW45)-(AX76*((AW45-AX45)*(1+$AZ$36))))*Faktory!$D$8</f>
        <v>0</v>
      </c>
      <c r="AY86" s="372">
        <f t="shared" si="138"/>
        <v>-857.96987586206887</v>
      </c>
    </row>
    <row r="87" spans="1:51" ht="16">
      <c r="A87" s="806" t="s">
        <v>196</v>
      </c>
      <c r="B87" s="808" t="s">
        <v>197</v>
      </c>
      <c r="C87" s="409" t="s">
        <v>115</v>
      </c>
      <c r="D87" s="433">
        <f t="shared" si="121"/>
        <v>388.11851481481477</v>
      </c>
      <c r="E87" s="434">
        <f t="shared" si="122"/>
        <v>388.11851481481477</v>
      </c>
      <c r="F87" s="435">
        <f t="shared" si="123"/>
        <v>0</v>
      </c>
      <c r="G87" s="436">
        <f t="shared" ref="G87:H96" si="139">(G6*G36)/12/21/7.5</f>
        <v>95.238095238095241</v>
      </c>
      <c r="H87" s="437">
        <f t="shared" si="139"/>
        <v>95.238095238095241</v>
      </c>
      <c r="I87" s="438">
        <f t="shared" si="124"/>
        <v>0</v>
      </c>
      <c r="J87" s="437">
        <f t="shared" ref="J87:K96" si="140">(J6*J36)/12/21/7.5</f>
        <v>1.1655555555555555</v>
      </c>
      <c r="K87" s="437">
        <f t="shared" si="140"/>
        <v>1.1655555555555555</v>
      </c>
      <c r="L87" s="438">
        <f t="shared" si="125"/>
        <v>0</v>
      </c>
      <c r="M87" s="437">
        <f t="shared" ref="M87:N96" si="141">(M6*M36)/12/21/7.5</f>
        <v>233.33333333333329</v>
      </c>
      <c r="N87" s="437">
        <f t="shared" si="141"/>
        <v>233.33333333333329</v>
      </c>
      <c r="O87" s="438">
        <f t="shared" si="126"/>
        <v>0</v>
      </c>
      <c r="P87" s="437">
        <f t="shared" ref="P87:Q87" si="142">(P6*P36)/12/21/7.5</f>
        <v>4.344444444444445</v>
      </c>
      <c r="Q87" s="439">
        <f t="shared" si="142"/>
        <v>4.344444444444445</v>
      </c>
      <c r="R87" s="440">
        <f t="shared" si="127"/>
        <v>0</v>
      </c>
      <c r="S87" s="437">
        <f t="shared" ref="S87:T87" si="143">(S6*S36)/12/21/7.5</f>
        <v>48.148148148148145</v>
      </c>
      <c r="T87" s="439">
        <f t="shared" si="143"/>
        <v>48.148148148148145</v>
      </c>
      <c r="U87" s="440">
        <f t="shared" si="128"/>
        <v>0</v>
      </c>
      <c r="V87" s="437">
        <f t="shared" ref="V87:W87" si="144">(V6*V36)/12/21/7.5</f>
        <v>2.4847619047619043</v>
      </c>
      <c r="W87" s="439">
        <f t="shared" si="144"/>
        <v>2.4847619047619043</v>
      </c>
      <c r="X87" s="440">
        <f t="shared" si="129"/>
        <v>0</v>
      </c>
      <c r="Y87" s="437">
        <f t="shared" ref="Y87:Z87" si="145">(Y6*Y36)/12/21/7.5</f>
        <v>1.4098412698412697</v>
      </c>
      <c r="Z87" s="439">
        <f t="shared" si="145"/>
        <v>1.4098412698412697</v>
      </c>
      <c r="AA87" s="440">
        <f t="shared" si="130"/>
        <v>0</v>
      </c>
      <c r="AB87" s="437">
        <f t="shared" ref="AB87:AC87" si="146">(AB6*AB36)/12/21/7.5</f>
        <v>1.4964962962962964</v>
      </c>
      <c r="AC87" s="439">
        <f t="shared" si="146"/>
        <v>1.4964962962962964</v>
      </c>
      <c r="AD87" s="440">
        <f t="shared" si="131"/>
        <v>0</v>
      </c>
      <c r="AE87" s="437">
        <f t="shared" ref="AE87:AF87" si="147">(AE6*AE36)/12/21/7.5</f>
        <v>5.656878306878306E-2</v>
      </c>
      <c r="AF87" s="439">
        <f t="shared" si="147"/>
        <v>5.656878306878306E-2</v>
      </c>
      <c r="AG87" s="440">
        <f t="shared" si="132"/>
        <v>0</v>
      </c>
      <c r="AH87" s="437">
        <f t="shared" ref="AH87:AI87" si="148">(AH6*AH36)/12/21/7.5</f>
        <v>9.7222222222222224E-2</v>
      </c>
      <c r="AI87" s="439">
        <f t="shared" si="148"/>
        <v>9.7222222222222224E-2</v>
      </c>
      <c r="AJ87" s="440">
        <f t="shared" si="133"/>
        <v>0</v>
      </c>
      <c r="AK87" s="437">
        <f t="shared" ref="AK87:AL87" si="149">(AK6*AK36)/12/21/7.5</f>
        <v>6.3095238095238093E-2</v>
      </c>
      <c r="AL87" s="439">
        <f t="shared" si="149"/>
        <v>6.3095238095238093E-2</v>
      </c>
      <c r="AM87" s="440">
        <f t="shared" si="134"/>
        <v>0</v>
      </c>
      <c r="AN87" s="437">
        <f t="shared" ref="AN87:AO87" si="150">(AN6*AN36)/12/21/7.5</f>
        <v>2.5026455026455025E-2</v>
      </c>
      <c r="AO87" s="439">
        <f t="shared" si="150"/>
        <v>2.5026455026455025E-2</v>
      </c>
      <c r="AP87" s="440">
        <f t="shared" si="135"/>
        <v>0</v>
      </c>
      <c r="AQ87" s="437">
        <f t="shared" ref="AQ87:AR87" si="151">(AQ6*AQ36)/12/21/7.5</f>
        <v>5.092592592592593E-2</v>
      </c>
      <c r="AR87" s="439">
        <f t="shared" si="151"/>
        <v>5.092592592592593E-2</v>
      </c>
      <c r="AS87" s="440">
        <f t="shared" si="136"/>
        <v>0</v>
      </c>
      <c r="AT87" s="437">
        <f t="shared" ref="AT87:AU87" si="152">(AT6*AT36)/12/21/7.5</f>
        <v>0.15992063492063491</v>
      </c>
      <c r="AU87" s="439">
        <f t="shared" si="152"/>
        <v>0.15992063492063491</v>
      </c>
      <c r="AV87" s="440">
        <f t="shared" si="137"/>
        <v>0</v>
      </c>
      <c r="AW87" s="437">
        <f t="shared" ref="AW87:AX96" si="153">(AW6*AW36)/12/21/7.5</f>
        <v>4.5079365079365073E-2</v>
      </c>
      <c r="AX87" s="439">
        <f t="shared" si="153"/>
        <v>4.5079365079365073E-2</v>
      </c>
      <c r="AY87" s="440">
        <f t="shared" si="138"/>
        <v>0</v>
      </c>
    </row>
    <row r="88" spans="1:51" ht="16">
      <c r="A88" s="806"/>
      <c r="B88" s="808"/>
      <c r="C88" s="409" t="s">
        <v>116</v>
      </c>
      <c r="D88" s="433">
        <f t="shared" si="121"/>
        <v>388.11851481481477</v>
      </c>
      <c r="E88" s="434">
        <f t="shared" si="122"/>
        <v>388.11851481481477</v>
      </c>
      <c r="F88" s="435">
        <f t="shared" si="123"/>
        <v>0</v>
      </c>
      <c r="G88" s="441">
        <f t="shared" si="139"/>
        <v>95.238095238095241</v>
      </c>
      <c r="H88" s="442">
        <f t="shared" si="139"/>
        <v>95.238095238095241</v>
      </c>
      <c r="I88" s="443">
        <f t="shared" si="124"/>
        <v>0</v>
      </c>
      <c r="J88" s="442">
        <f t="shared" si="140"/>
        <v>1.1655555555555555</v>
      </c>
      <c r="K88" s="442">
        <f t="shared" si="140"/>
        <v>1.1655555555555555</v>
      </c>
      <c r="L88" s="443">
        <f t="shared" si="125"/>
        <v>0</v>
      </c>
      <c r="M88" s="442">
        <f t="shared" si="141"/>
        <v>233.33333333333329</v>
      </c>
      <c r="N88" s="442">
        <f t="shared" si="141"/>
        <v>233.33333333333329</v>
      </c>
      <c r="O88" s="443">
        <f t="shared" si="126"/>
        <v>0</v>
      </c>
      <c r="P88" s="442">
        <f t="shared" ref="P88:Q88" si="154">(P7*P37)/12/21/7.5</f>
        <v>4.344444444444445</v>
      </c>
      <c r="Q88" s="444">
        <f t="shared" si="154"/>
        <v>4.344444444444445</v>
      </c>
      <c r="R88" s="445">
        <f t="shared" si="127"/>
        <v>0</v>
      </c>
      <c r="S88" s="442">
        <f t="shared" ref="S88:T88" si="155">(S7*S37)/12/21/7.5</f>
        <v>48.148148148148145</v>
      </c>
      <c r="T88" s="444">
        <f t="shared" si="155"/>
        <v>48.148148148148145</v>
      </c>
      <c r="U88" s="445">
        <f t="shared" si="128"/>
        <v>0</v>
      </c>
      <c r="V88" s="442">
        <f t="shared" ref="V88:W88" si="156">(V7*V37)/12/21/7.5</f>
        <v>2.4847619047619043</v>
      </c>
      <c r="W88" s="444">
        <f t="shared" si="156"/>
        <v>2.4847619047619043</v>
      </c>
      <c r="X88" s="445">
        <f t="shared" si="129"/>
        <v>0</v>
      </c>
      <c r="Y88" s="442">
        <f t="shared" ref="Y88:Z88" si="157">(Y7*Y37)/12/21/7.5</f>
        <v>1.4098412698412697</v>
      </c>
      <c r="Z88" s="444">
        <f t="shared" si="157"/>
        <v>1.4098412698412697</v>
      </c>
      <c r="AA88" s="445">
        <f t="shared" si="130"/>
        <v>0</v>
      </c>
      <c r="AB88" s="442">
        <f t="shared" ref="AB88:AC88" si="158">(AB7*AB37)/12/21/7.5</f>
        <v>1.4964962962962964</v>
      </c>
      <c r="AC88" s="444">
        <f t="shared" si="158"/>
        <v>1.4964962962962964</v>
      </c>
      <c r="AD88" s="445">
        <f t="shared" si="131"/>
        <v>0</v>
      </c>
      <c r="AE88" s="442">
        <f t="shared" ref="AE88:AF88" si="159">(AE7*AE37)/12/21/7.5</f>
        <v>5.656878306878306E-2</v>
      </c>
      <c r="AF88" s="444">
        <f t="shared" si="159"/>
        <v>5.656878306878306E-2</v>
      </c>
      <c r="AG88" s="445">
        <f t="shared" si="132"/>
        <v>0</v>
      </c>
      <c r="AH88" s="442">
        <f t="shared" ref="AH88:AI88" si="160">(AH7*AH37)/12/21/7.5</f>
        <v>9.7222222222222224E-2</v>
      </c>
      <c r="AI88" s="444">
        <f t="shared" si="160"/>
        <v>9.7222222222222224E-2</v>
      </c>
      <c r="AJ88" s="445">
        <f t="shared" si="133"/>
        <v>0</v>
      </c>
      <c r="AK88" s="442">
        <f t="shared" ref="AK88:AL88" si="161">(AK7*AK37)/12/21/7.5</f>
        <v>6.3095238095238093E-2</v>
      </c>
      <c r="AL88" s="444">
        <f t="shared" si="161"/>
        <v>6.3095238095238093E-2</v>
      </c>
      <c r="AM88" s="445">
        <f t="shared" si="134"/>
        <v>0</v>
      </c>
      <c r="AN88" s="442">
        <f t="shared" ref="AN88:AO88" si="162">(AN7*AN37)/12/21/7.5</f>
        <v>2.5026455026455025E-2</v>
      </c>
      <c r="AO88" s="444">
        <f t="shared" si="162"/>
        <v>2.5026455026455025E-2</v>
      </c>
      <c r="AP88" s="445">
        <f t="shared" si="135"/>
        <v>0</v>
      </c>
      <c r="AQ88" s="442">
        <f t="shared" ref="AQ88:AR88" si="163">(AQ7*AQ37)/12/21/7.5</f>
        <v>5.092592592592593E-2</v>
      </c>
      <c r="AR88" s="444">
        <f t="shared" si="163"/>
        <v>5.092592592592593E-2</v>
      </c>
      <c r="AS88" s="445">
        <f t="shared" si="136"/>
        <v>0</v>
      </c>
      <c r="AT88" s="442">
        <f t="shared" ref="AT88:AU88" si="164">(AT7*AT37)/12/21/7.5</f>
        <v>0.15992063492063491</v>
      </c>
      <c r="AU88" s="444">
        <f t="shared" si="164"/>
        <v>0.15992063492063491</v>
      </c>
      <c r="AV88" s="445">
        <f t="shared" si="137"/>
        <v>0</v>
      </c>
      <c r="AW88" s="442">
        <f t="shared" si="153"/>
        <v>4.5079365079365073E-2</v>
      </c>
      <c r="AX88" s="444">
        <f t="shared" si="153"/>
        <v>4.5079365079365073E-2</v>
      </c>
      <c r="AY88" s="445">
        <f t="shared" si="138"/>
        <v>0</v>
      </c>
    </row>
    <row r="89" spans="1:51" ht="16">
      <c r="A89" s="806"/>
      <c r="B89" s="808"/>
      <c r="C89" s="409" t="s">
        <v>117</v>
      </c>
      <c r="D89" s="433">
        <f t="shared" si="121"/>
        <v>388.11851481481477</v>
      </c>
      <c r="E89" s="434">
        <f t="shared" si="122"/>
        <v>2.3427544973544974</v>
      </c>
      <c r="F89" s="435">
        <f t="shared" si="123"/>
        <v>-385.77576031746031</v>
      </c>
      <c r="G89" s="441">
        <f t="shared" si="139"/>
        <v>95.238095238095241</v>
      </c>
      <c r="H89" s="442">
        <f t="shared" si="139"/>
        <v>0</v>
      </c>
      <c r="I89" s="443">
        <f t="shared" si="124"/>
        <v>-95.238095238095241</v>
      </c>
      <c r="J89" s="442">
        <f t="shared" si="140"/>
        <v>1.1655555555555555</v>
      </c>
      <c r="K89" s="442">
        <f t="shared" si="140"/>
        <v>0</v>
      </c>
      <c r="L89" s="443">
        <f t="shared" si="125"/>
        <v>-1.1655555555555555</v>
      </c>
      <c r="M89" s="442">
        <f t="shared" si="141"/>
        <v>233.33333333333329</v>
      </c>
      <c r="N89" s="442">
        <f t="shared" si="141"/>
        <v>0</v>
      </c>
      <c r="O89" s="443">
        <f t="shared" si="126"/>
        <v>-233.33333333333329</v>
      </c>
      <c r="P89" s="442">
        <f t="shared" ref="P89:Q89" si="165">(P8*P38)/12/21/7.5</f>
        <v>4.344444444444445</v>
      </c>
      <c r="Q89" s="444">
        <f t="shared" si="165"/>
        <v>0</v>
      </c>
      <c r="R89" s="445">
        <f t="shared" si="127"/>
        <v>-4.344444444444445</v>
      </c>
      <c r="S89" s="442">
        <f t="shared" ref="S89:T89" si="166">(S8*S38)/12/21/7.5</f>
        <v>48.148148148148145</v>
      </c>
      <c r="T89" s="444">
        <f t="shared" si="166"/>
        <v>0</v>
      </c>
      <c r="U89" s="445">
        <f t="shared" si="128"/>
        <v>-48.148148148148145</v>
      </c>
      <c r="V89" s="442">
        <f t="shared" ref="V89:W89" si="167">(V8*V38)/12/21/7.5</f>
        <v>2.4847619047619043</v>
      </c>
      <c r="W89" s="444">
        <f t="shared" si="167"/>
        <v>0.59238095238095245</v>
      </c>
      <c r="X89" s="445">
        <f t="shared" si="129"/>
        <v>-1.8923809523809518</v>
      </c>
      <c r="Y89" s="442">
        <f t="shared" ref="Y89:Z89" si="168">(Y8*Y38)/12/21/7.5</f>
        <v>1.4098412698412697</v>
      </c>
      <c r="Z89" s="444">
        <f t="shared" si="168"/>
        <v>1.1580952380952383</v>
      </c>
      <c r="AA89" s="445">
        <f t="shared" si="130"/>
        <v>-0.25174603174603138</v>
      </c>
      <c r="AB89" s="442">
        <f t="shared" ref="AB89:AC89" si="169">(AB8*AB38)/12/21/7.5</f>
        <v>1.4964962962962964</v>
      </c>
      <c r="AC89" s="444">
        <f t="shared" si="169"/>
        <v>0.55375185185185172</v>
      </c>
      <c r="AD89" s="445">
        <f t="shared" si="131"/>
        <v>-0.94274444444444472</v>
      </c>
      <c r="AE89" s="442">
        <f t="shared" ref="AE89:AF89" si="170">(AE8*AE38)/12/21/7.5</f>
        <v>5.656878306878306E-2</v>
      </c>
      <c r="AF89" s="444">
        <f t="shared" si="170"/>
        <v>3.852645502645502E-2</v>
      </c>
      <c r="AG89" s="445">
        <f t="shared" si="132"/>
        <v>-1.804232804232804E-2</v>
      </c>
      <c r="AH89" s="442">
        <f t="shared" ref="AH89:AI89" si="171">(AH8*AH38)/12/21/7.5</f>
        <v>9.7222222222222224E-2</v>
      </c>
      <c r="AI89" s="444">
        <f t="shared" si="171"/>
        <v>0</v>
      </c>
      <c r="AJ89" s="445">
        <f t="shared" si="133"/>
        <v>-9.7222222222222224E-2</v>
      </c>
      <c r="AK89" s="442">
        <f t="shared" ref="AK89:AL89" si="172">(AK8*AK38)/12/21/7.5</f>
        <v>6.3095238095238093E-2</v>
      </c>
      <c r="AL89" s="444">
        <f t="shared" si="172"/>
        <v>0</v>
      </c>
      <c r="AM89" s="445">
        <f t="shared" si="134"/>
        <v>-6.3095238095238093E-2</v>
      </c>
      <c r="AN89" s="442">
        <f t="shared" ref="AN89:AO89" si="173">(AN8*AN38)/12/21/7.5</f>
        <v>2.5026455026455025E-2</v>
      </c>
      <c r="AO89" s="444">
        <f t="shared" si="173"/>
        <v>0</v>
      </c>
      <c r="AP89" s="445">
        <f t="shared" si="135"/>
        <v>-2.5026455026455025E-2</v>
      </c>
      <c r="AQ89" s="442">
        <f t="shared" ref="AQ89:AR89" si="174">(AQ8*AQ38)/12/21/7.5</f>
        <v>5.092592592592593E-2</v>
      </c>
      <c r="AR89" s="444">
        <f t="shared" si="174"/>
        <v>0</v>
      </c>
      <c r="AS89" s="445">
        <f t="shared" si="136"/>
        <v>-5.092592592592593E-2</v>
      </c>
      <c r="AT89" s="442">
        <f t="shared" ref="AT89:AU89" si="175">(AT8*AT38)/12/21/7.5</f>
        <v>0.15992063492063491</v>
      </c>
      <c r="AU89" s="444">
        <f t="shared" si="175"/>
        <v>0</v>
      </c>
      <c r="AV89" s="445">
        <f t="shared" si="137"/>
        <v>-0.15992063492063491</v>
      </c>
      <c r="AW89" s="442">
        <f t="shared" si="153"/>
        <v>4.5079365079365073E-2</v>
      </c>
      <c r="AX89" s="444">
        <f t="shared" si="153"/>
        <v>0</v>
      </c>
      <c r="AY89" s="445">
        <f t="shared" si="138"/>
        <v>-4.5079365079365073E-2</v>
      </c>
    </row>
    <row r="90" spans="1:51" ht="16">
      <c r="A90" s="806"/>
      <c r="B90" s="808"/>
      <c r="C90" s="409" t="s">
        <v>118</v>
      </c>
      <c r="D90" s="433">
        <f t="shared" si="121"/>
        <v>388.11851481481477</v>
      </c>
      <c r="E90" s="434">
        <f t="shared" si="122"/>
        <v>2.3427544973544974</v>
      </c>
      <c r="F90" s="435">
        <f t="shared" si="123"/>
        <v>-385.77576031746031</v>
      </c>
      <c r="G90" s="441">
        <f t="shared" si="139"/>
        <v>95.238095238095241</v>
      </c>
      <c r="H90" s="442">
        <f t="shared" si="139"/>
        <v>0</v>
      </c>
      <c r="I90" s="443">
        <f t="shared" si="124"/>
        <v>-95.238095238095241</v>
      </c>
      <c r="J90" s="442">
        <f t="shared" si="140"/>
        <v>1.1655555555555555</v>
      </c>
      <c r="K90" s="442">
        <f t="shared" si="140"/>
        <v>0</v>
      </c>
      <c r="L90" s="443">
        <f t="shared" si="125"/>
        <v>-1.1655555555555555</v>
      </c>
      <c r="M90" s="442">
        <f t="shared" si="141"/>
        <v>233.33333333333329</v>
      </c>
      <c r="N90" s="442">
        <f t="shared" si="141"/>
        <v>0</v>
      </c>
      <c r="O90" s="443">
        <f t="shared" si="126"/>
        <v>-233.33333333333329</v>
      </c>
      <c r="P90" s="442">
        <f t="shared" ref="P90:Q90" si="176">(P9*P39)/12/21/7.5</f>
        <v>4.344444444444445</v>
      </c>
      <c r="Q90" s="444">
        <f t="shared" si="176"/>
        <v>0</v>
      </c>
      <c r="R90" s="445">
        <f t="shared" si="127"/>
        <v>-4.344444444444445</v>
      </c>
      <c r="S90" s="442">
        <f t="shared" ref="S90:T90" si="177">(S9*S39)/12/21/7.5</f>
        <v>48.148148148148145</v>
      </c>
      <c r="T90" s="444">
        <f t="shared" si="177"/>
        <v>0</v>
      </c>
      <c r="U90" s="445">
        <f t="shared" si="128"/>
        <v>-48.148148148148145</v>
      </c>
      <c r="V90" s="442">
        <f t="shared" ref="V90:W90" si="178">(V9*V39)/12/21/7.5</f>
        <v>2.4847619047619043</v>
      </c>
      <c r="W90" s="444">
        <f t="shared" si="178"/>
        <v>0.59238095238095245</v>
      </c>
      <c r="X90" s="445">
        <f t="shared" si="129"/>
        <v>-1.8923809523809518</v>
      </c>
      <c r="Y90" s="442">
        <f t="shared" ref="Y90:Z90" si="179">(Y9*Y39)/12/21/7.5</f>
        <v>1.4098412698412697</v>
      </c>
      <c r="Z90" s="444">
        <f t="shared" si="179"/>
        <v>1.1580952380952383</v>
      </c>
      <c r="AA90" s="445">
        <f t="shared" si="130"/>
        <v>-0.25174603174603138</v>
      </c>
      <c r="AB90" s="442">
        <f t="shared" ref="AB90:AC90" si="180">(AB9*AB39)/12/21/7.5</f>
        <v>1.4964962962962964</v>
      </c>
      <c r="AC90" s="444">
        <f t="shared" si="180"/>
        <v>0.55375185185185172</v>
      </c>
      <c r="AD90" s="445">
        <f t="shared" si="131"/>
        <v>-0.94274444444444472</v>
      </c>
      <c r="AE90" s="442">
        <f t="shared" ref="AE90:AF90" si="181">(AE9*AE39)/12/21/7.5</f>
        <v>5.656878306878306E-2</v>
      </c>
      <c r="AF90" s="444">
        <f t="shared" si="181"/>
        <v>3.852645502645502E-2</v>
      </c>
      <c r="AG90" s="445">
        <f t="shared" si="132"/>
        <v>-1.804232804232804E-2</v>
      </c>
      <c r="AH90" s="442">
        <f t="shared" ref="AH90:AI90" si="182">(AH9*AH39)/12/21/7.5</f>
        <v>9.7222222222222224E-2</v>
      </c>
      <c r="AI90" s="444">
        <f t="shared" si="182"/>
        <v>0</v>
      </c>
      <c r="AJ90" s="445">
        <f t="shared" si="133"/>
        <v>-9.7222222222222224E-2</v>
      </c>
      <c r="AK90" s="442">
        <f t="shared" ref="AK90:AL90" si="183">(AK9*AK39)/12/21/7.5</f>
        <v>6.3095238095238093E-2</v>
      </c>
      <c r="AL90" s="444">
        <f t="shared" si="183"/>
        <v>0</v>
      </c>
      <c r="AM90" s="445">
        <f t="shared" si="134"/>
        <v>-6.3095238095238093E-2</v>
      </c>
      <c r="AN90" s="442">
        <f t="shared" ref="AN90:AO90" si="184">(AN9*AN39)/12/21/7.5</f>
        <v>2.5026455026455025E-2</v>
      </c>
      <c r="AO90" s="444">
        <f t="shared" si="184"/>
        <v>0</v>
      </c>
      <c r="AP90" s="445">
        <f t="shared" si="135"/>
        <v>-2.5026455026455025E-2</v>
      </c>
      <c r="AQ90" s="442">
        <f t="shared" ref="AQ90:AR90" si="185">(AQ9*AQ39)/12/21/7.5</f>
        <v>5.092592592592593E-2</v>
      </c>
      <c r="AR90" s="444">
        <f t="shared" si="185"/>
        <v>0</v>
      </c>
      <c r="AS90" s="445">
        <f t="shared" si="136"/>
        <v>-5.092592592592593E-2</v>
      </c>
      <c r="AT90" s="442">
        <f t="shared" ref="AT90:AU90" si="186">(AT9*AT39)/12/21/7.5</f>
        <v>0.15992063492063491</v>
      </c>
      <c r="AU90" s="444">
        <f t="shared" si="186"/>
        <v>0</v>
      </c>
      <c r="AV90" s="445">
        <f t="shared" si="137"/>
        <v>-0.15992063492063491</v>
      </c>
      <c r="AW90" s="442">
        <f t="shared" si="153"/>
        <v>4.5079365079365073E-2</v>
      </c>
      <c r="AX90" s="444">
        <f t="shared" si="153"/>
        <v>0</v>
      </c>
      <c r="AY90" s="445">
        <f t="shared" si="138"/>
        <v>-4.5079365079365073E-2</v>
      </c>
    </row>
    <row r="91" spans="1:51" ht="16">
      <c r="A91" s="806"/>
      <c r="B91" s="808"/>
      <c r="C91" s="409" t="s">
        <v>119</v>
      </c>
      <c r="D91" s="433">
        <f t="shared" si="121"/>
        <v>388.11851481481477</v>
      </c>
      <c r="E91" s="434">
        <f t="shared" si="122"/>
        <v>2.3427544973544974</v>
      </c>
      <c r="F91" s="435">
        <f t="shared" si="123"/>
        <v>-385.77576031746031</v>
      </c>
      <c r="G91" s="441">
        <f t="shared" si="139"/>
        <v>95.238095238095241</v>
      </c>
      <c r="H91" s="442">
        <f t="shared" si="139"/>
        <v>0</v>
      </c>
      <c r="I91" s="443">
        <f t="shared" si="124"/>
        <v>-95.238095238095241</v>
      </c>
      <c r="J91" s="442">
        <f t="shared" si="140"/>
        <v>1.1655555555555555</v>
      </c>
      <c r="K91" s="442">
        <f t="shared" si="140"/>
        <v>0</v>
      </c>
      <c r="L91" s="443">
        <f t="shared" si="125"/>
        <v>-1.1655555555555555</v>
      </c>
      <c r="M91" s="442">
        <f t="shared" si="141"/>
        <v>233.33333333333329</v>
      </c>
      <c r="N91" s="442">
        <f t="shared" si="141"/>
        <v>0</v>
      </c>
      <c r="O91" s="443">
        <f t="shared" si="126"/>
        <v>-233.33333333333329</v>
      </c>
      <c r="P91" s="442">
        <f t="shared" ref="P91:Q91" si="187">(P10*P40)/12/21/7.5</f>
        <v>4.344444444444445</v>
      </c>
      <c r="Q91" s="444">
        <f t="shared" si="187"/>
        <v>0</v>
      </c>
      <c r="R91" s="445">
        <f t="shared" si="127"/>
        <v>-4.344444444444445</v>
      </c>
      <c r="S91" s="442">
        <f t="shared" ref="S91:T91" si="188">(S10*S40)/12/21/7.5</f>
        <v>48.148148148148145</v>
      </c>
      <c r="T91" s="444">
        <f t="shared" si="188"/>
        <v>0</v>
      </c>
      <c r="U91" s="445">
        <f t="shared" si="128"/>
        <v>-48.148148148148145</v>
      </c>
      <c r="V91" s="442">
        <f t="shared" ref="V91:W91" si="189">(V10*V40)/12/21/7.5</f>
        <v>2.4847619047619043</v>
      </c>
      <c r="W91" s="444">
        <f t="shared" si="189"/>
        <v>0.59238095238095245</v>
      </c>
      <c r="X91" s="445">
        <f t="shared" si="129"/>
        <v>-1.8923809523809518</v>
      </c>
      <c r="Y91" s="442">
        <f t="shared" ref="Y91:Z91" si="190">(Y10*Y40)/12/21/7.5</f>
        <v>1.4098412698412697</v>
      </c>
      <c r="Z91" s="444">
        <f t="shared" si="190"/>
        <v>1.1580952380952383</v>
      </c>
      <c r="AA91" s="445">
        <f t="shared" si="130"/>
        <v>-0.25174603174603138</v>
      </c>
      <c r="AB91" s="442">
        <f t="shared" ref="AB91:AC91" si="191">(AB10*AB40)/12/21/7.5</f>
        <v>1.4964962962962964</v>
      </c>
      <c r="AC91" s="444">
        <f t="shared" si="191"/>
        <v>0.55375185185185172</v>
      </c>
      <c r="AD91" s="445">
        <f t="shared" si="131"/>
        <v>-0.94274444444444472</v>
      </c>
      <c r="AE91" s="442">
        <f t="shared" ref="AE91:AF91" si="192">(AE10*AE40)/12/21/7.5</f>
        <v>5.656878306878306E-2</v>
      </c>
      <c r="AF91" s="444">
        <f t="shared" si="192"/>
        <v>3.852645502645502E-2</v>
      </c>
      <c r="AG91" s="445">
        <f t="shared" si="132"/>
        <v>-1.804232804232804E-2</v>
      </c>
      <c r="AH91" s="442">
        <f t="shared" ref="AH91:AI91" si="193">(AH10*AH40)/12/21/7.5</f>
        <v>9.7222222222222224E-2</v>
      </c>
      <c r="AI91" s="444">
        <f t="shared" si="193"/>
        <v>0</v>
      </c>
      <c r="AJ91" s="445">
        <f t="shared" si="133"/>
        <v>-9.7222222222222224E-2</v>
      </c>
      <c r="AK91" s="442">
        <f t="shared" ref="AK91:AL91" si="194">(AK10*AK40)/12/21/7.5</f>
        <v>6.3095238095238093E-2</v>
      </c>
      <c r="AL91" s="444">
        <f t="shared" si="194"/>
        <v>0</v>
      </c>
      <c r="AM91" s="445">
        <f t="shared" si="134"/>
        <v>-6.3095238095238093E-2</v>
      </c>
      <c r="AN91" s="442">
        <f t="shared" ref="AN91:AO91" si="195">(AN10*AN40)/12/21/7.5</f>
        <v>2.5026455026455025E-2</v>
      </c>
      <c r="AO91" s="444">
        <f t="shared" si="195"/>
        <v>0</v>
      </c>
      <c r="AP91" s="445">
        <f t="shared" si="135"/>
        <v>-2.5026455026455025E-2</v>
      </c>
      <c r="AQ91" s="442">
        <f t="shared" ref="AQ91:AR91" si="196">(AQ10*AQ40)/12/21/7.5</f>
        <v>5.092592592592593E-2</v>
      </c>
      <c r="AR91" s="444">
        <f t="shared" si="196"/>
        <v>0</v>
      </c>
      <c r="AS91" s="445">
        <f t="shared" si="136"/>
        <v>-5.092592592592593E-2</v>
      </c>
      <c r="AT91" s="442">
        <f t="shared" ref="AT91:AU91" si="197">(AT10*AT40)/12/21/7.5</f>
        <v>0.15992063492063491</v>
      </c>
      <c r="AU91" s="444">
        <f t="shared" si="197"/>
        <v>0</v>
      </c>
      <c r="AV91" s="445">
        <f t="shared" si="137"/>
        <v>-0.15992063492063491</v>
      </c>
      <c r="AW91" s="442">
        <f t="shared" si="153"/>
        <v>4.5079365079365073E-2</v>
      </c>
      <c r="AX91" s="444">
        <f t="shared" si="153"/>
        <v>0</v>
      </c>
      <c r="AY91" s="445">
        <f t="shared" si="138"/>
        <v>-4.5079365079365073E-2</v>
      </c>
    </row>
    <row r="92" spans="1:51" ht="16">
      <c r="A92" s="806"/>
      <c r="B92" s="808"/>
      <c r="C92" s="409" t="s">
        <v>120</v>
      </c>
      <c r="D92" s="433">
        <f t="shared" si="121"/>
        <v>388.11851481481477</v>
      </c>
      <c r="E92" s="434">
        <f t="shared" si="122"/>
        <v>2.3427544973544974</v>
      </c>
      <c r="F92" s="435">
        <f t="shared" si="123"/>
        <v>-385.77576031746031</v>
      </c>
      <c r="G92" s="441">
        <f t="shared" si="139"/>
        <v>95.238095238095241</v>
      </c>
      <c r="H92" s="442">
        <f t="shared" si="139"/>
        <v>0</v>
      </c>
      <c r="I92" s="443">
        <f t="shared" si="124"/>
        <v>-95.238095238095241</v>
      </c>
      <c r="J92" s="442">
        <f t="shared" si="140"/>
        <v>1.1655555555555555</v>
      </c>
      <c r="K92" s="442">
        <f t="shared" si="140"/>
        <v>0</v>
      </c>
      <c r="L92" s="443">
        <f t="shared" si="125"/>
        <v>-1.1655555555555555</v>
      </c>
      <c r="M92" s="442">
        <f t="shared" si="141"/>
        <v>233.33333333333329</v>
      </c>
      <c r="N92" s="442">
        <f t="shared" si="141"/>
        <v>0</v>
      </c>
      <c r="O92" s="443">
        <f t="shared" si="126"/>
        <v>-233.33333333333329</v>
      </c>
      <c r="P92" s="442">
        <f t="shared" ref="P92:Q92" si="198">(P11*P41)/12/21/7.5</f>
        <v>4.344444444444445</v>
      </c>
      <c r="Q92" s="444">
        <f t="shared" si="198"/>
        <v>0</v>
      </c>
      <c r="R92" s="445">
        <f t="shared" si="127"/>
        <v>-4.344444444444445</v>
      </c>
      <c r="S92" s="442">
        <f t="shared" ref="S92:T92" si="199">(S11*S41)/12/21/7.5</f>
        <v>48.148148148148145</v>
      </c>
      <c r="T92" s="444">
        <f t="shared" si="199"/>
        <v>0</v>
      </c>
      <c r="U92" s="445">
        <f t="shared" si="128"/>
        <v>-48.148148148148145</v>
      </c>
      <c r="V92" s="442">
        <f t="shared" ref="V92:W92" si="200">(V11*V41)/12/21/7.5</f>
        <v>2.4847619047619043</v>
      </c>
      <c r="W92" s="444">
        <f t="shared" si="200"/>
        <v>0.59238095238095245</v>
      </c>
      <c r="X92" s="445">
        <f t="shared" si="129"/>
        <v>-1.8923809523809518</v>
      </c>
      <c r="Y92" s="442">
        <f t="shared" ref="Y92:Z92" si="201">(Y11*Y41)/12/21/7.5</f>
        <v>1.4098412698412697</v>
      </c>
      <c r="Z92" s="444">
        <f t="shared" si="201"/>
        <v>1.1580952380952383</v>
      </c>
      <c r="AA92" s="445">
        <f t="shared" si="130"/>
        <v>-0.25174603174603138</v>
      </c>
      <c r="AB92" s="442">
        <f t="shared" ref="AB92:AC92" si="202">(AB11*AB41)/12/21/7.5</f>
        <v>1.4964962962962964</v>
      </c>
      <c r="AC92" s="444">
        <f t="shared" si="202"/>
        <v>0.55375185185185172</v>
      </c>
      <c r="AD92" s="445">
        <f t="shared" si="131"/>
        <v>-0.94274444444444472</v>
      </c>
      <c r="AE92" s="442">
        <f t="shared" ref="AE92:AF92" si="203">(AE11*AE41)/12/21/7.5</f>
        <v>5.656878306878306E-2</v>
      </c>
      <c r="AF92" s="444">
        <f t="shared" si="203"/>
        <v>3.852645502645502E-2</v>
      </c>
      <c r="AG92" s="445">
        <f t="shared" si="132"/>
        <v>-1.804232804232804E-2</v>
      </c>
      <c r="AH92" s="442">
        <f t="shared" ref="AH92:AI92" si="204">(AH11*AH41)/12/21/7.5</f>
        <v>9.7222222222222224E-2</v>
      </c>
      <c r="AI92" s="444">
        <f t="shared" si="204"/>
        <v>0</v>
      </c>
      <c r="AJ92" s="445">
        <f t="shared" si="133"/>
        <v>-9.7222222222222224E-2</v>
      </c>
      <c r="AK92" s="442">
        <f t="shared" ref="AK92:AL92" si="205">(AK11*AK41)/12/21/7.5</f>
        <v>6.3095238095238093E-2</v>
      </c>
      <c r="AL92" s="444">
        <f t="shared" si="205"/>
        <v>0</v>
      </c>
      <c r="AM92" s="445">
        <f t="shared" si="134"/>
        <v>-6.3095238095238093E-2</v>
      </c>
      <c r="AN92" s="442">
        <f t="shared" ref="AN92:AO92" si="206">(AN11*AN41)/12/21/7.5</f>
        <v>2.5026455026455025E-2</v>
      </c>
      <c r="AO92" s="444">
        <f t="shared" si="206"/>
        <v>0</v>
      </c>
      <c r="AP92" s="445">
        <f t="shared" si="135"/>
        <v>-2.5026455026455025E-2</v>
      </c>
      <c r="AQ92" s="442">
        <f t="shared" ref="AQ92:AR92" si="207">(AQ11*AQ41)/12/21/7.5</f>
        <v>5.092592592592593E-2</v>
      </c>
      <c r="AR92" s="444">
        <f t="shared" si="207"/>
        <v>0</v>
      </c>
      <c r="AS92" s="445">
        <f t="shared" si="136"/>
        <v>-5.092592592592593E-2</v>
      </c>
      <c r="AT92" s="442">
        <f t="shared" ref="AT92:AU92" si="208">(AT11*AT41)/12/21/7.5</f>
        <v>0.15992063492063491</v>
      </c>
      <c r="AU92" s="444">
        <f t="shared" si="208"/>
        <v>0</v>
      </c>
      <c r="AV92" s="445">
        <f t="shared" si="137"/>
        <v>-0.15992063492063491</v>
      </c>
      <c r="AW92" s="442">
        <f t="shared" si="153"/>
        <v>4.5079365079365073E-2</v>
      </c>
      <c r="AX92" s="444">
        <f t="shared" si="153"/>
        <v>0</v>
      </c>
      <c r="AY92" s="445">
        <f t="shared" si="138"/>
        <v>-4.5079365079365073E-2</v>
      </c>
    </row>
    <row r="93" spans="1:51" ht="16">
      <c r="A93" s="806"/>
      <c r="B93" s="808"/>
      <c r="C93" s="409" t="s">
        <v>121</v>
      </c>
      <c r="D93" s="433">
        <f t="shared" si="121"/>
        <v>388.11851481481477</v>
      </c>
      <c r="E93" s="434">
        <f t="shared" si="122"/>
        <v>2.3427544973544974</v>
      </c>
      <c r="F93" s="435">
        <f t="shared" si="123"/>
        <v>-385.77576031746031</v>
      </c>
      <c r="G93" s="441">
        <f t="shared" si="139"/>
        <v>95.238095238095241</v>
      </c>
      <c r="H93" s="442">
        <f t="shared" si="139"/>
        <v>0</v>
      </c>
      <c r="I93" s="443">
        <f t="shared" si="124"/>
        <v>-95.238095238095241</v>
      </c>
      <c r="J93" s="442">
        <f t="shared" si="140"/>
        <v>1.1655555555555555</v>
      </c>
      <c r="K93" s="442">
        <f t="shared" si="140"/>
        <v>0</v>
      </c>
      <c r="L93" s="443">
        <f t="shared" si="125"/>
        <v>-1.1655555555555555</v>
      </c>
      <c r="M93" s="442">
        <f t="shared" si="141"/>
        <v>233.33333333333329</v>
      </c>
      <c r="N93" s="442">
        <f t="shared" si="141"/>
        <v>0</v>
      </c>
      <c r="O93" s="443">
        <f t="shared" si="126"/>
        <v>-233.33333333333329</v>
      </c>
      <c r="P93" s="442">
        <f t="shared" ref="P93:Q93" si="209">(P12*P42)/12/21/7.5</f>
        <v>4.344444444444445</v>
      </c>
      <c r="Q93" s="444">
        <f t="shared" si="209"/>
        <v>0</v>
      </c>
      <c r="R93" s="445">
        <f t="shared" si="127"/>
        <v>-4.344444444444445</v>
      </c>
      <c r="S93" s="442">
        <f t="shared" ref="S93:T93" si="210">(S12*S42)/12/21/7.5</f>
        <v>48.148148148148145</v>
      </c>
      <c r="T93" s="444">
        <f t="shared" si="210"/>
        <v>0</v>
      </c>
      <c r="U93" s="445">
        <f t="shared" si="128"/>
        <v>-48.148148148148145</v>
      </c>
      <c r="V93" s="442">
        <f t="shared" ref="V93:W93" si="211">(V12*V42)/12/21/7.5</f>
        <v>2.4847619047619043</v>
      </c>
      <c r="W93" s="444">
        <f t="shared" si="211"/>
        <v>0.59238095238095245</v>
      </c>
      <c r="X93" s="445">
        <f t="shared" si="129"/>
        <v>-1.8923809523809518</v>
      </c>
      <c r="Y93" s="442">
        <f t="shared" ref="Y93:Z93" si="212">(Y12*Y42)/12/21/7.5</f>
        <v>1.4098412698412697</v>
      </c>
      <c r="Z93" s="444">
        <f t="shared" si="212"/>
        <v>1.1580952380952383</v>
      </c>
      <c r="AA93" s="445">
        <f t="shared" si="130"/>
        <v>-0.25174603174603138</v>
      </c>
      <c r="AB93" s="442">
        <f t="shared" ref="AB93:AC93" si="213">(AB12*AB42)/12/21/7.5</f>
        <v>1.4964962962962964</v>
      </c>
      <c r="AC93" s="444">
        <f t="shared" si="213"/>
        <v>0.55375185185185172</v>
      </c>
      <c r="AD93" s="445">
        <f t="shared" si="131"/>
        <v>-0.94274444444444472</v>
      </c>
      <c r="AE93" s="442">
        <f t="shared" ref="AE93:AF93" si="214">(AE12*AE42)/12/21/7.5</f>
        <v>5.656878306878306E-2</v>
      </c>
      <c r="AF93" s="444">
        <f t="shared" si="214"/>
        <v>3.852645502645502E-2</v>
      </c>
      <c r="AG93" s="445">
        <f t="shared" si="132"/>
        <v>-1.804232804232804E-2</v>
      </c>
      <c r="AH93" s="442">
        <f t="shared" ref="AH93:AI93" si="215">(AH12*AH42)/12/21/7.5</f>
        <v>9.7222222222222224E-2</v>
      </c>
      <c r="AI93" s="444">
        <f t="shared" si="215"/>
        <v>0</v>
      </c>
      <c r="AJ93" s="445">
        <f t="shared" si="133"/>
        <v>-9.7222222222222224E-2</v>
      </c>
      <c r="AK93" s="442">
        <f t="shared" ref="AK93:AL93" si="216">(AK12*AK42)/12/21/7.5</f>
        <v>6.3095238095238093E-2</v>
      </c>
      <c r="AL93" s="444">
        <f t="shared" si="216"/>
        <v>0</v>
      </c>
      <c r="AM93" s="445">
        <f t="shared" si="134"/>
        <v>-6.3095238095238093E-2</v>
      </c>
      <c r="AN93" s="442">
        <f t="shared" ref="AN93:AO93" si="217">(AN12*AN42)/12/21/7.5</f>
        <v>2.5026455026455025E-2</v>
      </c>
      <c r="AO93" s="444">
        <f t="shared" si="217"/>
        <v>0</v>
      </c>
      <c r="AP93" s="445">
        <f t="shared" si="135"/>
        <v>-2.5026455026455025E-2</v>
      </c>
      <c r="AQ93" s="442">
        <f t="shared" ref="AQ93:AR93" si="218">(AQ12*AQ42)/12/21/7.5</f>
        <v>5.092592592592593E-2</v>
      </c>
      <c r="AR93" s="444">
        <f t="shared" si="218"/>
        <v>0</v>
      </c>
      <c r="AS93" s="445">
        <f t="shared" si="136"/>
        <v>-5.092592592592593E-2</v>
      </c>
      <c r="AT93" s="442">
        <f t="shared" ref="AT93:AU93" si="219">(AT12*AT42)/12/21/7.5</f>
        <v>0.15992063492063491</v>
      </c>
      <c r="AU93" s="444">
        <f t="shared" si="219"/>
        <v>0</v>
      </c>
      <c r="AV93" s="445">
        <f t="shared" si="137"/>
        <v>-0.15992063492063491</v>
      </c>
      <c r="AW93" s="442">
        <f t="shared" si="153"/>
        <v>4.5079365079365073E-2</v>
      </c>
      <c r="AX93" s="444">
        <f t="shared" si="153"/>
        <v>0</v>
      </c>
      <c r="AY93" s="445">
        <f t="shared" si="138"/>
        <v>-4.5079365079365073E-2</v>
      </c>
    </row>
    <row r="94" spans="1:51" ht="16">
      <c r="A94" s="806"/>
      <c r="B94" s="808"/>
      <c r="C94" s="409" t="s">
        <v>122</v>
      </c>
      <c r="D94" s="433">
        <f t="shared" si="121"/>
        <v>388.11851481481477</v>
      </c>
      <c r="E94" s="434">
        <f t="shared" si="122"/>
        <v>2.3427544973544974</v>
      </c>
      <c r="F94" s="435">
        <f t="shared" si="123"/>
        <v>-385.77576031746031</v>
      </c>
      <c r="G94" s="441">
        <f t="shared" si="139"/>
        <v>95.238095238095241</v>
      </c>
      <c r="H94" s="442">
        <f t="shared" si="139"/>
        <v>0</v>
      </c>
      <c r="I94" s="443">
        <f t="shared" si="124"/>
        <v>-95.238095238095241</v>
      </c>
      <c r="J94" s="442">
        <f t="shared" si="140"/>
        <v>1.1655555555555555</v>
      </c>
      <c r="K94" s="442">
        <f t="shared" si="140"/>
        <v>0</v>
      </c>
      <c r="L94" s="443">
        <f t="shared" si="125"/>
        <v>-1.1655555555555555</v>
      </c>
      <c r="M94" s="442">
        <f t="shared" si="141"/>
        <v>233.33333333333329</v>
      </c>
      <c r="N94" s="442">
        <f t="shared" si="141"/>
        <v>0</v>
      </c>
      <c r="O94" s="443">
        <f t="shared" si="126"/>
        <v>-233.33333333333329</v>
      </c>
      <c r="P94" s="442">
        <f t="shared" ref="P94:Q94" si="220">(P13*P43)/12/21/7.5</f>
        <v>4.344444444444445</v>
      </c>
      <c r="Q94" s="444">
        <f t="shared" si="220"/>
        <v>0</v>
      </c>
      <c r="R94" s="445">
        <f t="shared" si="127"/>
        <v>-4.344444444444445</v>
      </c>
      <c r="S94" s="442">
        <f t="shared" ref="S94:T94" si="221">(S13*S43)/12/21/7.5</f>
        <v>48.148148148148145</v>
      </c>
      <c r="T94" s="444">
        <f t="shared" si="221"/>
        <v>0</v>
      </c>
      <c r="U94" s="445">
        <f t="shared" si="128"/>
        <v>-48.148148148148145</v>
      </c>
      <c r="V94" s="442">
        <f t="shared" ref="V94:W94" si="222">(V13*V43)/12/21/7.5</f>
        <v>2.4847619047619043</v>
      </c>
      <c r="W94" s="444">
        <f t="shared" si="222"/>
        <v>0.59238095238095245</v>
      </c>
      <c r="X94" s="445">
        <f t="shared" si="129"/>
        <v>-1.8923809523809518</v>
      </c>
      <c r="Y94" s="442">
        <f t="shared" ref="Y94:Z94" si="223">(Y13*Y43)/12/21/7.5</f>
        <v>1.4098412698412697</v>
      </c>
      <c r="Z94" s="444">
        <f t="shared" si="223"/>
        <v>1.1580952380952383</v>
      </c>
      <c r="AA94" s="445">
        <f t="shared" si="130"/>
        <v>-0.25174603174603138</v>
      </c>
      <c r="AB94" s="442">
        <f t="shared" ref="AB94:AC94" si="224">(AB13*AB43)/12/21/7.5</f>
        <v>1.4964962962962964</v>
      </c>
      <c r="AC94" s="444">
        <f t="shared" si="224"/>
        <v>0.55375185185185172</v>
      </c>
      <c r="AD94" s="445">
        <f t="shared" si="131"/>
        <v>-0.94274444444444472</v>
      </c>
      <c r="AE94" s="442">
        <f t="shared" ref="AE94:AF94" si="225">(AE13*AE43)/12/21/7.5</f>
        <v>5.656878306878306E-2</v>
      </c>
      <c r="AF94" s="444">
        <f t="shared" si="225"/>
        <v>3.852645502645502E-2</v>
      </c>
      <c r="AG94" s="445">
        <f t="shared" si="132"/>
        <v>-1.804232804232804E-2</v>
      </c>
      <c r="AH94" s="442">
        <f t="shared" ref="AH94:AI94" si="226">(AH13*AH43)/12/21/7.5</f>
        <v>9.7222222222222224E-2</v>
      </c>
      <c r="AI94" s="444">
        <f t="shared" si="226"/>
        <v>0</v>
      </c>
      <c r="AJ94" s="445">
        <f t="shared" si="133"/>
        <v>-9.7222222222222224E-2</v>
      </c>
      <c r="AK94" s="442">
        <f t="shared" ref="AK94:AL94" si="227">(AK13*AK43)/12/21/7.5</f>
        <v>6.3095238095238093E-2</v>
      </c>
      <c r="AL94" s="444">
        <f t="shared" si="227"/>
        <v>0</v>
      </c>
      <c r="AM94" s="445">
        <f t="shared" si="134"/>
        <v>-6.3095238095238093E-2</v>
      </c>
      <c r="AN94" s="442">
        <f t="shared" ref="AN94:AO94" si="228">(AN13*AN43)/12/21/7.5</f>
        <v>2.5026455026455025E-2</v>
      </c>
      <c r="AO94" s="444">
        <f t="shared" si="228"/>
        <v>0</v>
      </c>
      <c r="AP94" s="445">
        <f t="shared" si="135"/>
        <v>-2.5026455026455025E-2</v>
      </c>
      <c r="AQ94" s="442">
        <f t="shared" ref="AQ94:AR94" si="229">(AQ13*AQ43)/12/21/7.5</f>
        <v>5.092592592592593E-2</v>
      </c>
      <c r="AR94" s="444">
        <f t="shared" si="229"/>
        <v>0</v>
      </c>
      <c r="AS94" s="445">
        <f t="shared" si="136"/>
        <v>-5.092592592592593E-2</v>
      </c>
      <c r="AT94" s="442">
        <f t="shared" ref="AT94:AU94" si="230">(AT13*AT43)/12/21/7.5</f>
        <v>0.15992063492063491</v>
      </c>
      <c r="AU94" s="444">
        <f t="shared" si="230"/>
        <v>0</v>
      </c>
      <c r="AV94" s="445">
        <f t="shared" si="137"/>
        <v>-0.15992063492063491</v>
      </c>
      <c r="AW94" s="442">
        <f t="shared" si="153"/>
        <v>4.5079365079365073E-2</v>
      </c>
      <c r="AX94" s="444">
        <f t="shared" si="153"/>
        <v>0</v>
      </c>
      <c r="AY94" s="445">
        <f t="shared" si="138"/>
        <v>-4.5079365079365073E-2</v>
      </c>
    </row>
    <row r="95" spans="1:51" ht="16">
      <c r="A95" s="806"/>
      <c r="B95" s="808"/>
      <c r="C95" s="409" t="s">
        <v>123</v>
      </c>
      <c r="D95" s="433">
        <f t="shared" si="121"/>
        <v>388.11851481481477</v>
      </c>
      <c r="E95" s="434">
        <f t="shared" si="122"/>
        <v>2.3427544973544974</v>
      </c>
      <c r="F95" s="435">
        <f t="shared" si="123"/>
        <v>-385.77576031746031</v>
      </c>
      <c r="G95" s="441">
        <f t="shared" si="139"/>
        <v>95.238095238095241</v>
      </c>
      <c r="H95" s="442">
        <f t="shared" si="139"/>
        <v>0</v>
      </c>
      <c r="I95" s="443">
        <f t="shared" si="124"/>
        <v>-95.238095238095241</v>
      </c>
      <c r="J95" s="442">
        <f t="shared" si="140"/>
        <v>1.1655555555555555</v>
      </c>
      <c r="K95" s="442">
        <f t="shared" si="140"/>
        <v>0</v>
      </c>
      <c r="L95" s="443">
        <f t="shared" si="125"/>
        <v>-1.1655555555555555</v>
      </c>
      <c r="M95" s="442">
        <f t="shared" si="141"/>
        <v>233.33333333333329</v>
      </c>
      <c r="N95" s="442">
        <f t="shared" si="141"/>
        <v>0</v>
      </c>
      <c r="O95" s="443">
        <f t="shared" si="126"/>
        <v>-233.33333333333329</v>
      </c>
      <c r="P95" s="442">
        <f t="shared" ref="P95:Q95" si="231">(P14*P44)/12/21/7.5</f>
        <v>4.344444444444445</v>
      </c>
      <c r="Q95" s="444">
        <f t="shared" si="231"/>
        <v>0</v>
      </c>
      <c r="R95" s="445">
        <f t="shared" si="127"/>
        <v>-4.344444444444445</v>
      </c>
      <c r="S95" s="442">
        <f t="shared" ref="S95:T95" si="232">(S14*S44)/12/21/7.5</f>
        <v>48.148148148148145</v>
      </c>
      <c r="T95" s="444">
        <f t="shared" si="232"/>
        <v>0</v>
      </c>
      <c r="U95" s="445">
        <f t="shared" si="128"/>
        <v>-48.148148148148145</v>
      </c>
      <c r="V95" s="442">
        <f t="shared" ref="V95:W95" si="233">(V14*V44)/12/21/7.5</f>
        <v>2.4847619047619043</v>
      </c>
      <c r="W95" s="444">
        <f t="shared" si="233"/>
        <v>0.59238095238095245</v>
      </c>
      <c r="X95" s="445">
        <f t="shared" si="129"/>
        <v>-1.8923809523809518</v>
      </c>
      <c r="Y95" s="442">
        <f t="shared" ref="Y95:Z95" si="234">(Y14*Y44)/12/21/7.5</f>
        <v>1.4098412698412697</v>
      </c>
      <c r="Z95" s="444">
        <f t="shared" si="234"/>
        <v>1.1580952380952383</v>
      </c>
      <c r="AA95" s="445">
        <f t="shared" si="130"/>
        <v>-0.25174603174603138</v>
      </c>
      <c r="AB95" s="442">
        <f t="shared" ref="AB95:AC95" si="235">(AB14*AB44)/12/21/7.5</f>
        <v>1.4964962962962964</v>
      </c>
      <c r="AC95" s="444">
        <f t="shared" si="235"/>
        <v>0.55375185185185172</v>
      </c>
      <c r="AD95" s="445">
        <f t="shared" si="131"/>
        <v>-0.94274444444444472</v>
      </c>
      <c r="AE95" s="442">
        <f t="shared" ref="AE95:AF95" si="236">(AE14*AE44)/12/21/7.5</f>
        <v>5.656878306878306E-2</v>
      </c>
      <c r="AF95" s="444">
        <f t="shared" si="236"/>
        <v>3.852645502645502E-2</v>
      </c>
      <c r="AG95" s="445">
        <f t="shared" si="132"/>
        <v>-1.804232804232804E-2</v>
      </c>
      <c r="AH95" s="442">
        <f t="shared" ref="AH95:AI95" si="237">(AH14*AH44)/12/21/7.5</f>
        <v>9.7222222222222224E-2</v>
      </c>
      <c r="AI95" s="444">
        <f t="shared" si="237"/>
        <v>0</v>
      </c>
      <c r="AJ95" s="445">
        <f t="shared" si="133"/>
        <v>-9.7222222222222224E-2</v>
      </c>
      <c r="AK95" s="442">
        <f t="shared" ref="AK95:AL95" si="238">(AK14*AK44)/12/21/7.5</f>
        <v>6.3095238095238093E-2</v>
      </c>
      <c r="AL95" s="444">
        <f t="shared" si="238"/>
        <v>0</v>
      </c>
      <c r="AM95" s="445">
        <f t="shared" si="134"/>
        <v>-6.3095238095238093E-2</v>
      </c>
      <c r="AN95" s="442">
        <f t="shared" ref="AN95:AO95" si="239">(AN14*AN44)/12/21/7.5</f>
        <v>2.5026455026455025E-2</v>
      </c>
      <c r="AO95" s="444">
        <f t="shared" si="239"/>
        <v>0</v>
      </c>
      <c r="AP95" s="445">
        <f t="shared" si="135"/>
        <v>-2.5026455026455025E-2</v>
      </c>
      <c r="AQ95" s="442">
        <f t="shared" ref="AQ95:AR95" si="240">(AQ14*AQ44)/12/21/7.5</f>
        <v>5.092592592592593E-2</v>
      </c>
      <c r="AR95" s="444">
        <f t="shared" si="240"/>
        <v>0</v>
      </c>
      <c r="AS95" s="445">
        <f t="shared" si="136"/>
        <v>-5.092592592592593E-2</v>
      </c>
      <c r="AT95" s="442">
        <f t="shared" ref="AT95:AU95" si="241">(AT14*AT44)/12/21/7.5</f>
        <v>0.15992063492063491</v>
      </c>
      <c r="AU95" s="444">
        <f t="shared" si="241"/>
        <v>0</v>
      </c>
      <c r="AV95" s="445">
        <f t="shared" si="137"/>
        <v>-0.15992063492063491</v>
      </c>
      <c r="AW95" s="442">
        <f t="shared" si="153"/>
        <v>4.5079365079365073E-2</v>
      </c>
      <c r="AX95" s="444">
        <f t="shared" si="153"/>
        <v>0</v>
      </c>
      <c r="AY95" s="445">
        <f t="shared" si="138"/>
        <v>-4.5079365079365073E-2</v>
      </c>
    </row>
    <row r="96" spans="1:51" ht="17" thickBot="1">
      <c r="A96" s="807"/>
      <c r="B96" s="809"/>
      <c r="C96" s="422" t="s">
        <v>124</v>
      </c>
      <c r="D96" s="446">
        <f t="shared" si="121"/>
        <v>388.11851481481477</v>
      </c>
      <c r="E96" s="447">
        <f t="shared" si="122"/>
        <v>2.3427544973544974</v>
      </c>
      <c r="F96" s="448">
        <f t="shared" si="123"/>
        <v>-385.77576031746031</v>
      </c>
      <c r="G96" s="449">
        <f t="shared" si="139"/>
        <v>95.238095238095241</v>
      </c>
      <c r="H96" s="450">
        <f t="shared" si="139"/>
        <v>0</v>
      </c>
      <c r="I96" s="451">
        <f t="shared" si="124"/>
        <v>-95.238095238095241</v>
      </c>
      <c r="J96" s="450">
        <f t="shared" si="140"/>
        <v>1.1655555555555555</v>
      </c>
      <c r="K96" s="450">
        <f t="shared" si="140"/>
        <v>0</v>
      </c>
      <c r="L96" s="451">
        <f t="shared" si="125"/>
        <v>-1.1655555555555555</v>
      </c>
      <c r="M96" s="450">
        <f t="shared" si="141"/>
        <v>233.33333333333329</v>
      </c>
      <c r="N96" s="450">
        <f t="shared" si="141"/>
        <v>0</v>
      </c>
      <c r="O96" s="451">
        <f t="shared" si="126"/>
        <v>-233.33333333333329</v>
      </c>
      <c r="P96" s="450">
        <f t="shared" ref="P96:Q96" si="242">(P15*P45)/12/21/7.5</f>
        <v>4.344444444444445</v>
      </c>
      <c r="Q96" s="452">
        <f t="shared" si="242"/>
        <v>0</v>
      </c>
      <c r="R96" s="453">
        <f t="shared" si="127"/>
        <v>-4.344444444444445</v>
      </c>
      <c r="S96" s="450">
        <f t="shared" ref="S96:T96" si="243">(S15*S45)/12/21/7.5</f>
        <v>48.148148148148145</v>
      </c>
      <c r="T96" s="452">
        <f t="shared" si="243"/>
        <v>0</v>
      </c>
      <c r="U96" s="453">
        <f t="shared" si="128"/>
        <v>-48.148148148148145</v>
      </c>
      <c r="V96" s="450">
        <f t="shared" ref="V96:W96" si="244">(V15*V45)/12/21/7.5</f>
        <v>2.4847619047619043</v>
      </c>
      <c r="W96" s="452">
        <f t="shared" si="244"/>
        <v>0.59238095238095245</v>
      </c>
      <c r="X96" s="453">
        <f t="shared" si="129"/>
        <v>-1.8923809523809518</v>
      </c>
      <c r="Y96" s="450">
        <f t="shared" ref="Y96:Z96" si="245">(Y15*Y45)/12/21/7.5</f>
        <v>1.4098412698412697</v>
      </c>
      <c r="Z96" s="452">
        <f t="shared" si="245"/>
        <v>1.1580952380952383</v>
      </c>
      <c r="AA96" s="453">
        <f t="shared" si="130"/>
        <v>-0.25174603174603138</v>
      </c>
      <c r="AB96" s="450">
        <f t="shared" ref="AB96:AC96" si="246">(AB15*AB45)/12/21/7.5</f>
        <v>1.4964962962962964</v>
      </c>
      <c r="AC96" s="452">
        <f t="shared" si="246"/>
        <v>0.55375185185185172</v>
      </c>
      <c r="AD96" s="453">
        <f t="shared" si="131"/>
        <v>-0.94274444444444472</v>
      </c>
      <c r="AE96" s="450">
        <f t="shared" ref="AE96:AF96" si="247">(AE15*AE45)/12/21/7.5</f>
        <v>5.656878306878306E-2</v>
      </c>
      <c r="AF96" s="452">
        <f t="shared" si="247"/>
        <v>3.852645502645502E-2</v>
      </c>
      <c r="AG96" s="453">
        <f t="shared" si="132"/>
        <v>-1.804232804232804E-2</v>
      </c>
      <c r="AH96" s="450">
        <f t="shared" ref="AH96:AI96" si="248">(AH15*AH45)/12/21/7.5</f>
        <v>9.7222222222222224E-2</v>
      </c>
      <c r="AI96" s="452">
        <f t="shared" si="248"/>
        <v>0</v>
      </c>
      <c r="AJ96" s="453">
        <f t="shared" si="133"/>
        <v>-9.7222222222222224E-2</v>
      </c>
      <c r="AK96" s="450">
        <f t="shared" ref="AK96:AL96" si="249">(AK15*AK45)/12/21/7.5</f>
        <v>6.3095238095238093E-2</v>
      </c>
      <c r="AL96" s="452">
        <f t="shared" si="249"/>
        <v>0</v>
      </c>
      <c r="AM96" s="453">
        <f t="shared" si="134"/>
        <v>-6.3095238095238093E-2</v>
      </c>
      <c r="AN96" s="450">
        <f t="shared" ref="AN96:AO96" si="250">(AN15*AN45)/12/21/7.5</f>
        <v>2.5026455026455025E-2</v>
      </c>
      <c r="AO96" s="452">
        <f t="shared" si="250"/>
        <v>0</v>
      </c>
      <c r="AP96" s="453">
        <f t="shared" si="135"/>
        <v>-2.5026455026455025E-2</v>
      </c>
      <c r="AQ96" s="450">
        <f t="shared" ref="AQ96:AR96" si="251">(AQ15*AQ45)/12/21/7.5</f>
        <v>5.092592592592593E-2</v>
      </c>
      <c r="AR96" s="452">
        <f t="shared" si="251"/>
        <v>0</v>
      </c>
      <c r="AS96" s="453">
        <f t="shared" si="136"/>
        <v>-5.092592592592593E-2</v>
      </c>
      <c r="AT96" s="450">
        <f t="shared" ref="AT96:AU96" si="252">(AT15*AT45)/12/21/7.5</f>
        <v>0.15992063492063491</v>
      </c>
      <c r="AU96" s="452">
        <f t="shared" si="252"/>
        <v>0</v>
      </c>
      <c r="AV96" s="453">
        <f t="shared" si="137"/>
        <v>-0.15992063492063491</v>
      </c>
      <c r="AW96" s="450">
        <f t="shared" si="153"/>
        <v>4.5079365079365073E-2</v>
      </c>
      <c r="AX96" s="452">
        <f t="shared" si="153"/>
        <v>0</v>
      </c>
      <c r="AY96" s="453">
        <f t="shared" si="138"/>
        <v>-4.5079365079365073E-2</v>
      </c>
    </row>
    <row r="97" spans="1:51" ht="16">
      <c r="A97" s="806" t="s">
        <v>198</v>
      </c>
      <c r="B97" s="808" t="s">
        <v>190</v>
      </c>
      <c r="C97" s="409" t="s">
        <v>115</v>
      </c>
      <c r="D97" s="410">
        <f t="shared" si="121"/>
        <v>0</v>
      </c>
      <c r="E97" s="411">
        <f t="shared" si="122"/>
        <v>0</v>
      </c>
      <c r="F97" s="412">
        <f t="shared" si="123"/>
        <v>0</v>
      </c>
      <c r="G97" s="429">
        <v>0</v>
      </c>
      <c r="H97" s="430">
        <f>(G67+I67/2)*((G46-H46)*(1+$AZ$46))*Faktory!$D$10</f>
        <v>0</v>
      </c>
      <c r="I97" s="352">
        <f>H97</f>
        <v>0</v>
      </c>
      <c r="J97" s="430">
        <v>0</v>
      </c>
      <c r="K97" s="430">
        <f>(J67+L67/2)*((J46-K46)*(1+$AZ$46))*Faktory!$D$10</f>
        <v>0</v>
      </c>
      <c r="L97" s="352">
        <f>K97</f>
        <v>0</v>
      </c>
      <c r="M97" s="430">
        <v>0</v>
      </c>
      <c r="N97" s="430">
        <f>(M67+O67/2)*((M46-N46)*(1+$AZ$46))*Faktory!$D$10</f>
        <v>0</v>
      </c>
      <c r="O97" s="352">
        <f>N97</f>
        <v>0</v>
      </c>
      <c r="P97" s="430">
        <v>0</v>
      </c>
      <c r="Q97" s="431">
        <f>(P67+R67/2)*((P46-Q46)*(1+$AZ$46))*Faktory!$D$10</f>
        <v>0</v>
      </c>
      <c r="R97" s="432">
        <f>Q97</f>
        <v>0</v>
      </c>
      <c r="S97" s="430">
        <v>0</v>
      </c>
      <c r="T97" s="431">
        <f>(S67+U67/2)*((S46-T46)*(1+$AZ$46))*Faktory!$D$10</f>
        <v>0</v>
      </c>
      <c r="U97" s="432">
        <f>T97</f>
        <v>0</v>
      </c>
      <c r="V97" s="430">
        <v>0</v>
      </c>
      <c r="W97" s="431">
        <f>(V67+X67/2)*((V46-W46)*(1+$AZ$46))*Faktory!$D$10</f>
        <v>0</v>
      </c>
      <c r="X97" s="432">
        <f>W97</f>
        <v>0</v>
      </c>
      <c r="Y97" s="430">
        <v>0</v>
      </c>
      <c r="Z97" s="431">
        <f>(Y67+AA67/2)*((Y46-Z46)*(1+$AZ$46))*Faktory!$D$10</f>
        <v>0</v>
      </c>
      <c r="AA97" s="432">
        <f>Z97</f>
        <v>0</v>
      </c>
      <c r="AB97" s="430">
        <v>0</v>
      </c>
      <c r="AC97" s="431">
        <f>(AB67+AD67/2)*((AB46-AC46)*(1+$AZ$46))*Faktory!$D$10</f>
        <v>0</v>
      </c>
      <c r="AD97" s="432">
        <f>AC97</f>
        <v>0</v>
      </c>
      <c r="AE97" s="430">
        <v>0</v>
      </c>
      <c r="AF97" s="431">
        <f>(AE67+AG67/2)*((AE46-AF46)*(1+$AZ$46))*Faktory!$D$10</f>
        <v>0</v>
      </c>
      <c r="AG97" s="432">
        <f>AF97</f>
        <v>0</v>
      </c>
      <c r="AH97" s="430">
        <v>0</v>
      </c>
      <c r="AI97" s="431">
        <f>(AH67+AJ67/2)*((AH46-AI46)*(1+$AZ$46))*Faktory!$D$10</f>
        <v>0</v>
      </c>
      <c r="AJ97" s="432">
        <f>AI97</f>
        <v>0</v>
      </c>
      <c r="AK97" s="430">
        <v>0</v>
      </c>
      <c r="AL97" s="431">
        <f>(AK67+AM67/2)*((AK46-AL46)*(1+$AZ$46))*Faktory!$D$10</f>
        <v>0</v>
      </c>
      <c r="AM97" s="432">
        <f>AL97</f>
        <v>0</v>
      </c>
      <c r="AN97" s="430">
        <v>0</v>
      </c>
      <c r="AO97" s="431">
        <f>(AN67+AP67/2)*((AN46-AO46)*(1+$AZ$46))*Faktory!$D$10</f>
        <v>0</v>
      </c>
      <c r="AP97" s="432">
        <f>AO97</f>
        <v>0</v>
      </c>
      <c r="AQ97" s="430">
        <v>0</v>
      </c>
      <c r="AR97" s="431">
        <f>(AQ67+AS67/2)*((AQ46-AR46)*(1+$AZ$46))*Faktory!$D$10</f>
        <v>0</v>
      </c>
      <c r="AS97" s="432">
        <f>AR97</f>
        <v>0</v>
      </c>
      <c r="AT97" s="430">
        <v>0</v>
      </c>
      <c r="AU97" s="431">
        <f>(AT67+AV67/2)*((AT46-AU46)*(1+$AZ$46))*Faktory!$D$10</f>
        <v>0</v>
      </c>
      <c r="AV97" s="432">
        <f>AU97</f>
        <v>0</v>
      </c>
      <c r="AW97" s="430">
        <v>0</v>
      </c>
      <c r="AX97" s="431">
        <f>(AW67+AY67/2)*((AW46-AX46)*(1+$AZ$46))*Faktory!$D$10</f>
        <v>0</v>
      </c>
      <c r="AY97" s="432">
        <f>AX97</f>
        <v>0</v>
      </c>
    </row>
    <row r="98" spans="1:51" ht="16">
      <c r="A98" s="806"/>
      <c r="B98" s="808"/>
      <c r="C98" s="409" t="s">
        <v>116</v>
      </c>
      <c r="D98" s="410">
        <f t="shared" si="121"/>
        <v>0</v>
      </c>
      <c r="E98" s="411">
        <f t="shared" si="122"/>
        <v>0</v>
      </c>
      <c r="F98" s="412">
        <f t="shared" si="123"/>
        <v>0</v>
      </c>
      <c r="G98" s="419">
        <v>0</v>
      </c>
      <c r="H98" s="420">
        <f>(G68+I68/2)*((G47-H47)*(1+$AZ$46))*Faktory!$D$10</f>
        <v>0</v>
      </c>
      <c r="I98" s="361">
        <f t="shared" ref="I98:I106" si="253">H98</f>
        <v>0</v>
      </c>
      <c r="J98" s="420">
        <v>0</v>
      </c>
      <c r="K98" s="420">
        <f>(J68+L68/2)*((J47-K47)*(1+$AZ$46))*Faktory!$D$10</f>
        <v>0</v>
      </c>
      <c r="L98" s="361">
        <f t="shared" ref="L98:L106" si="254">K98</f>
        <v>0</v>
      </c>
      <c r="M98" s="420">
        <v>0</v>
      </c>
      <c r="N98" s="420">
        <f>(M68+O68/2)*((M47-N47)*(1+$AZ$46))*Faktory!$D$10</f>
        <v>0</v>
      </c>
      <c r="O98" s="361">
        <f t="shared" ref="O98:O106" si="255">N98</f>
        <v>0</v>
      </c>
      <c r="P98" s="420">
        <v>0</v>
      </c>
      <c r="Q98" s="421">
        <f>(P68+R68/2)*((P47-Q47)*(1+$AZ$46))*Faktory!$D$10</f>
        <v>0</v>
      </c>
      <c r="R98" s="363">
        <f t="shared" ref="R98:R106" si="256">Q98</f>
        <v>0</v>
      </c>
      <c r="S98" s="420">
        <v>0</v>
      </c>
      <c r="T98" s="421">
        <f>(S68+U68/2)*((S47-T47)*(1+$AZ$46))*Faktory!$D$10</f>
        <v>0</v>
      </c>
      <c r="U98" s="363">
        <f t="shared" ref="U98:U106" si="257">T98</f>
        <v>0</v>
      </c>
      <c r="V98" s="420">
        <v>0</v>
      </c>
      <c r="W98" s="421">
        <f>(V68+X68/2)*((V47-W47)*(1+$AZ$46))*Faktory!$D$10</f>
        <v>0</v>
      </c>
      <c r="X98" s="363">
        <f t="shared" ref="X98:X106" si="258">W98</f>
        <v>0</v>
      </c>
      <c r="Y98" s="420">
        <v>0</v>
      </c>
      <c r="Z98" s="421">
        <f>(Y68+AA68/2)*((Y47-Z47)*(1+$AZ$46))*Faktory!$D$10</f>
        <v>0</v>
      </c>
      <c r="AA98" s="363">
        <f t="shared" ref="AA98:AA106" si="259">Z98</f>
        <v>0</v>
      </c>
      <c r="AB98" s="420">
        <v>0</v>
      </c>
      <c r="AC98" s="421">
        <f>(AB68+AD68/2)*((AB47-AC47)*(1+$AZ$46))*Faktory!$D$10</f>
        <v>0</v>
      </c>
      <c r="AD98" s="363">
        <f t="shared" ref="AD98:AD106" si="260">AC98</f>
        <v>0</v>
      </c>
      <c r="AE98" s="420">
        <v>0</v>
      </c>
      <c r="AF98" s="421">
        <f>(AE68+AG68/2)*((AE47-AF47)*(1+$AZ$46))*Faktory!$D$10</f>
        <v>0</v>
      </c>
      <c r="AG98" s="363">
        <f t="shared" ref="AG98:AG106" si="261">AF98</f>
        <v>0</v>
      </c>
      <c r="AH98" s="420">
        <v>0</v>
      </c>
      <c r="AI98" s="421">
        <f>(AH68+AJ68/2)*((AH47-AI47)*(1+$AZ$46))*Faktory!$D$10</f>
        <v>0</v>
      </c>
      <c r="AJ98" s="363">
        <f t="shared" ref="AJ98:AJ106" si="262">AI98</f>
        <v>0</v>
      </c>
      <c r="AK98" s="420">
        <v>0</v>
      </c>
      <c r="AL98" s="421">
        <f>(AK68+AM68/2)*((AK47-AL47)*(1+$AZ$46))*Faktory!$D$10</f>
        <v>0</v>
      </c>
      <c r="AM98" s="363">
        <f t="shared" ref="AM98:AM106" si="263">AL98</f>
        <v>0</v>
      </c>
      <c r="AN98" s="420">
        <v>0</v>
      </c>
      <c r="AO98" s="421">
        <f>(AN68+AP68/2)*((AN47-AO47)*(1+$AZ$46))*Faktory!$D$10</f>
        <v>0</v>
      </c>
      <c r="AP98" s="363">
        <f t="shared" ref="AP98:AP106" si="264">AO98</f>
        <v>0</v>
      </c>
      <c r="AQ98" s="420">
        <v>0</v>
      </c>
      <c r="AR98" s="421">
        <f>(AQ68+AS68/2)*((AQ47-AR47)*(1+$AZ$46))*Faktory!$D$10</f>
        <v>0</v>
      </c>
      <c r="AS98" s="363">
        <f t="shared" ref="AS98:AS106" si="265">AR98</f>
        <v>0</v>
      </c>
      <c r="AT98" s="420">
        <v>0</v>
      </c>
      <c r="AU98" s="421">
        <f>(AT68+AV68/2)*((AT47-AU47)*(1+$AZ$46))*Faktory!$D$10</f>
        <v>0</v>
      </c>
      <c r="AV98" s="363">
        <f t="shared" ref="AV98:AV106" si="266">AU98</f>
        <v>0</v>
      </c>
      <c r="AW98" s="420">
        <v>0</v>
      </c>
      <c r="AX98" s="421">
        <f>(AW68+AY68/2)*((AW47-AX47)*(1+$AZ$46))*Faktory!$D$10</f>
        <v>0</v>
      </c>
      <c r="AY98" s="363">
        <f t="shared" ref="AY98:AY106" si="267">AX98</f>
        <v>0</v>
      </c>
    </row>
    <row r="99" spans="1:51" ht="16">
      <c r="A99" s="806"/>
      <c r="B99" s="808"/>
      <c r="C99" s="409" t="s">
        <v>117</v>
      </c>
      <c r="D99" s="410">
        <f t="shared" si="121"/>
        <v>0</v>
      </c>
      <c r="E99" s="411">
        <f t="shared" si="122"/>
        <v>0</v>
      </c>
      <c r="F99" s="412">
        <f t="shared" si="123"/>
        <v>0</v>
      </c>
      <c r="G99" s="419">
        <v>0</v>
      </c>
      <c r="H99" s="420">
        <f>(G69+I69/2)*((G48-H48)*(1+$AZ$46))*Faktory!$D$10</f>
        <v>0</v>
      </c>
      <c r="I99" s="361">
        <f t="shared" si="253"/>
        <v>0</v>
      </c>
      <c r="J99" s="420">
        <v>0</v>
      </c>
      <c r="K99" s="420">
        <f>(J69+L69/2)*((J48-K48)*(1+$AZ$46))*Faktory!$D$10</f>
        <v>0</v>
      </c>
      <c r="L99" s="361">
        <f t="shared" si="254"/>
        <v>0</v>
      </c>
      <c r="M99" s="420">
        <v>0</v>
      </c>
      <c r="N99" s="420">
        <f>(M69+O69/2)*((M48-N48)*(1+$AZ$46))*Faktory!$D$10</f>
        <v>0</v>
      </c>
      <c r="O99" s="361">
        <f t="shared" si="255"/>
        <v>0</v>
      </c>
      <c r="P99" s="420">
        <v>0</v>
      </c>
      <c r="Q99" s="421">
        <f>(P69+R69/2)*((P48-Q48)*(1+$AZ$46))*Faktory!$D$10</f>
        <v>0</v>
      </c>
      <c r="R99" s="363">
        <f t="shared" si="256"/>
        <v>0</v>
      </c>
      <c r="S99" s="420">
        <v>0</v>
      </c>
      <c r="T99" s="421">
        <f>(S69+U69/2)*((S48-T48)*(1+$AZ$46))*Faktory!$D$10</f>
        <v>0</v>
      </c>
      <c r="U99" s="363">
        <f t="shared" si="257"/>
        <v>0</v>
      </c>
      <c r="V99" s="420">
        <v>0</v>
      </c>
      <c r="W99" s="421">
        <f>(V69+X69/2)*((V48-W48)*(1+$AZ$46))*Faktory!$D$10</f>
        <v>0</v>
      </c>
      <c r="X99" s="363">
        <f t="shared" si="258"/>
        <v>0</v>
      </c>
      <c r="Y99" s="420">
        <v>0</v>
      </c>
      <c r="Z99" s="421">
        <f>(Y69+AA69/2)*((Y48-Z48)*(1+$AZ$46))*Faktory!$D$10</f>
        <v>0</v>
      </c>
      <c r="AA99" s="363">
        <f t="shared" si="259"/>
        <v>0</v>
      </c>
      <c r="AB99" s="420">
        <v>0</v>
      </c>
      <c r="AC99" s="421">
        <f>(AB69+AD69/2)*((AB48-AC48)*(1+$AZ$46))*Faktory!$D$10</f>
        <v>0</v>
      </c>
      <c r="AD99" s="363">
        <f t="shared" si="260"/>
        <v>0</v>
      </c>
      <c r="AE99" s="420">
        <v>0</v>
      </c>
      <c r="AF99" s="421">
        <f>(AE69+AG69/2)*((AE48-AF48)*(1+$AZ$46))*Faktory!$D$10</f>
        <v>0</v>
      </c>
      <c r="AG99" s="363">
        <f t="shared" si="261"/>
        <v>0</v>
      </c>
      <c r="AH99" s="420">
        <v>0</v>
      </c>
      <c r="AI99" s="421">
        <f>(AH69+AJ69/2)*((AH48-AI48)*(1+$AZ$46))*Faktory!$D$10</f>
        <v>0</v>
      </c>
      <c r="AJ99" s="363">
        <f t="shared" si="262"/>
        <v>0</v>
      </c>
      <c r="AK99" s="420">
        <v>0</v>
      </c>
      <c r="AL99" s="421">
        <f>(AK69+AM69/2)*((AK48-AL48)*(1+$AZ$46))*Faktory!$D$10</f>
        <v>0</v>
      </c>
      <c r="AM99" s="363">
        <f t="shared" si="263"/>
        <v>0</v>
      </c>
      <c r="AN99" s="420">
        <v>0</v>
      </c>
      <c r="AO99" s="421">
        <f>(AN69+AP69/2)*((AN48-AO48)*(1+$AZ$46))*Faktory!$D$10</f>
        <v>0</v>
      </c>
      <c r="AP99" s="363">
        <f t="shared" si="264"/>
        <v>0</v>
      </c>
      <c r="AQ99" s="420">
        <v>0</v>
      </c>
      <c r="AR99" s="421">
        <f>(AQ69+AS69/2)*((AQ48-AR48)*(1+$AZ$46))*Faktory!$D$10</f>
        <v>0</v>
      </c>
      <c r="AS99" s="363">
        <f t="shared" si="265"/>
        <v>0</v>
      </c>
      <c r="AT99" s="420">
        <v>0</v>
      </c>
      <c r="AU99" s="421">
        <f>(AT69+AV69/2)*((AT48-AU48)*(1+$AZ$46))*Faktory!$D$10</f>
        <v>0</v>
      </c>
      <c r="AV99" s="363">
        <f t="shared" si="266"/>
        <v>0</v>
      </c>
      <c r="AW99" s="420">
        <v>0</v>
      </c>
      <c r="AX99" s="421">
        <f>(AW69+AY69/2)*((AW48-AX48)*(1+$AZ$46))*Faktory!$D$10</f>
        <v>0</v>
      </c>
      <c r="AY99" s="363">
        <f t="shared" si="267"/>
        <v>0</v>
      </c>
    </row>
    <row r="100" spans="1:51" ht="16">
      <c r="A100" s="806"/>
      <c r="B100" s="808"/>
      <c r="C100" s="409" t="s">
        <v>118</v>
      </c>
      <c r="D100" s="410">
        <f t="shared" si="121"/>
        <v>0</v>
      </c>
      <c r="E100" s="411">
        <f t="shared" si="122"/>
        <v>0</v>
      </c>
      <c r="F100" s="412">
        <f t="shared" si="123"/>
        <v>0</v>
      </c>
      <c r="G100" s="419">
        <v>0</v>
      </c>
      <c r="H100" s="420">
        <f>(G70+I70/2)*((G49-H49)*(1+$AZ$46))*Faktory!$D$10</f>
        <v>0</v>
      </c>
      <c r="I100" s="361">
        <f t="shared" si="253"/>
        <v>0</v>
      </c>
      <c r="J100" s="420">
        <v>0</v>
      </c>
      <c r="K100" s="420">
        <f>(J70+L70/2)*((J49-K49)*(1+$AZ$46))*Faktory!$D$10</f>
        <v>0</v>
      </c>
      <c r="L100" s="361">
        <f t="shared" si="254"/>
        <v>0</v>
      </c>
      <c r="M100" s="420">
        <v>0</v>
      </c>
      <c r="N100" s="420">
        <f>(M70+O70/2)*((M49-N49)*(1+$AZ$46))*Faktory!$D$10</f>
        <v>0</v>
      </c>
      <c r="O100" s="361">
        <f t="shared" si="255"/>
        <v>0</v>
      </c>
      <c r="P100" s="420">
        <v>0</v>
      </c>
      <c r="Q100" s="421">
        <f>(P70+R70/2)*((P49-Q49)*(1+$AZ$46))*Faktory!$D$10</f>
        <v>0</v>
      </c>
      <c r="R100" s="363">
        <f t="shared" si="256"/>
        <v>0</v>
      </c>
      <c r="S100" s="420">
        <v>0</v>
      </c>
      <c r="T100" s="421">
        <f>(S70+U70/2)*((S49-T49)*(1+$AZ$46))*Faktory!$D$10</f>
        <v>0</v>
      </c>
      <c r="U100" s="363">
        <f t="shared" si="257"/>
        <v>0</v>
      </c>
      <c r="V100" s="420">
        <v>0</v>
      </c>
      <c r="W100" s="421">
        <f>(V70+X70/2)*((V49-W49)*(1+$AZ$46))*Faktory!$D$10</f>
        <v>0</v>
      </c>
      <c r="X100" s="363">
        <f t="shared" si="258"/>
        <v>0</v>
      </c>
      <c r="Y100" s="420">
        <v>0</v>
      </c>
      <c r="Z100" s="421">
        <f>(Y70+AA70/2)*((Y49-Z49)*(1+$AZ$46))*Faktory!$D$10</f>
        <v>0</v>
      </c>
      <c r="AA100" s="363">
        <f t="shared" si="259"/>
        <v>0</v>
      </c>
      <c r="AB100" s="420">
        <v>0</v>
      </c>
      <c r="AC100" s="421">
        <f>(AB70+AD70/2)*((AB49-AC49)*(1+$AZ$46))*Faktory!$D$10</f>
        <v>0</v>
      </c>
      <c r="AD100" s="363">
        <f t="shared" si="260"/>
        <v>0</v>
      </c>
      <c r="AE100" s="420">
        <v>0</v>
      </c>
      <c r="AF100" s="421">
        <f>(AE70+AG70/2)*((AE49-AF49)*(1+$AZ$46))*Faktory!$D$10</f>
        <v>0</v>
      </c>
      <c r="AG100" s="363">
        <f t="shared" si="261"/>
        <v>0</v>
      </c>
      <c r="AH100" s="420">
        <v>0</v>
      </c>
      <c r="AI100" s="421">
        <f>(AH70+AJ70/2)*((AH49-AI49)*(1+$AZ$46))*Faktory!$D$10</f>
        <v>0</v>
      </c>
      <c r="AJ100" s="363">
        <f t="shared" si="262"/>
        <v>0</v>
      </c>
      <c r="AK100" s="420">
        <v>0</v>
      </c>
      <c r="AL100" s="421">
        <f>(AK70+AM70/2)*((AK49-AL49)*(1+$AZ$46))*Faktory!$D$10</f>
        <v>0</v>
      </c>
      <c r="AM100" s="363">
        <f t="shared" si="263"/>
        <v>0</v>
      </c>
      <c r="AN100" s="420">
        <v>0</v>
      </c>
      <c r="AO100" s="421">
        <f>(AN70+AP70/2)*((AN49-AO49)*(1+$AZ$46))*Faktory!$D$10</f>
        <v>0</v>
      </c>
      <c r="AP100" s="363">
        <f t="shared" si="264"/>
        <v>0</v>
      </c>
      <c r="AQ100" s="420">
        <v>0</v>
      </c>
      <c r="AR100" s="421">
        <f>(AQ70+AS70/2)*((AQ49-AR49)*(1+$AZ$46))*Faktory!$D$10</f>
        <v>0</v>
      </c>
      <c r="AS100" s="363">
        <f t="shared" si="265"/>
        <v>0</v>
      </c>
      <c r="AT100" s="420">
        <v>0</v>
      </c>
      <c r="AU100" s="421">
        <f>(AT70+AV70/2)*((AT49-AU49)*(1+$AZ$46))*Faktory!$D$10</f>
        <v>0</v>
      </c>
      <c r="AV100" s="363">
        <f t="shared" si="266"/>
        <v>0</v>
      </c>
      <c r="AW100" s="420">
        <v>0</v>
      </c>
      <c r="AX100" s="421">
        <f>(AW70+AY70/2)*((AW49-AX49)*(1+$AZ$46))*Faktory!$D$10</f>
        <v>0</v>
      </c>
      <c r="AY100" s="363">
        <f t="shared" si="267"/>
        <v>0</v>
      </c>
    </row>
    <row r="101" spans="1:51" ht="16">
      <c r="A101" s="806"/>
      <c r="B101" s="808"/>
      <c r="C101" s="409" t="s">
        <v>119</v>
      </c>
      <c r="D101" s="410">
        <f t="shared" si="121"/>
        <v>0</v>
      </c>
      <c r="E101" s="411">
        <f t="shared" si="122"/>
        <v>0</v>
      </c>
      <c r="F101" s="412">
        <f t="shared" si="123"/>
        <v>0</v>
      </c>
      <c r="G101" s="419">
        <v>0</v>
      </c>
      <c r="H101" s="420">
        <f>(G71+I71/2)*((G50-H50)*(1+$AZ$46))*Faktory!$D$10</f>
        <v>0</v>
      </c>
      <c r="I101" s="361">
        <f t="shared" si="253"/>
        <v>0</v>
      </c>
      <c r="J101" s="420">
        <v>0</v>
      </c>
      <c r="K101" s="420">
        <f>(J71+L71/2)*((J50-K50)*(1+$AZ$46))*Faktory!$D$10</f>
        <v>0</v>
      </c>
      <c r="L101" s="361">
        <f t="shared" si="254"/>
        <v>0</v>
      </c>
      <c r="M101" s="420">
        <v>0</v>
      </c>
      <c r="N101" s="420">
        <f>(M71+O71/2)*((M50-N50)*(1+$AZ$46))*Faktory!$D$10</f>
        <v>0</v>
      </c>
      <c r="O101" s="361">
        <f t="shared" si="255"/>
        <v>0</v>
      </c>
      <c r="P101" s="420">
        <v>0</v>
      </c>
      <c r="Q101" s="421">
        <f>(P71+R71/2)*((P50-Q50)*(1+$AZ$46))*Faktory!$D$10</f>
        <v>0</v>
      </c>
      <c r="R101" s="363">
        <f t="shared" si="256"/>
        <v>0</v>
      </c>
      <c r="S101" s="420">
        <v>0</v>
      </c>
      <c r="T101" s="421">
        <f>(S71+U71/2)*((S50-T50)*(1+$AZ$46))*Faktory!$D$10</f>
        <v>0</v>
      </c>
      <c r="U101" s="363">
        <f t="shared" si="257"/>
        <v>0</v>
      </c>
      <c r="V101" s="420">
        <v>0</v>
      </c>
      <c r="W101" s="421">
        <f>(V71+X71/2)*((V50-W50)*(1+$AZ$46))*Faktory!$D$10</f>
        <v>0</v>
      </c>
      <c r="X101" s="363">
        <f t="shared" si="258"/>
        <v>0</v>
      </c>
      <c r="Y101" s="420">
        <v>0</v>
      </c>
      <c r="Z101" s="421">
        <f>(Y71+AA71/2)*((Y50-Z50)*(1+$AZ$46))*Faktory!$D$10</f>
        <v>0</v>
      </c>
      <c r="AA101" s="363">
        <f t="shared" si="259"/>
        <v>0</v>
      </c>
      <c r="AB101" s="420">
        <v>0</v>
      </c>
      <c r="AC101" s="421">
        <f>(AB71+AD71/2)*((AB50-AC50)*(1+$AZ$46))*Faktory!$D$10</f>
        <v>0</v>
      </c>
      <c r="AD101" s="363">
        <f t="shared" si="260"/>
        <v>0</v>
      </c>
      <c r="AE101" s="420">
        <v>0</v>
      </c>
      <c r="AF101" s="421">
        <f>(AE71+AG71/2)*((AE50-AF50)*(1+$AZ$46))*Faktory!$D$10</f>
        <v>0</v>
      </c>
      <c r="AG101" s="363">
        <f t="shared" si="261"/>
        <v>0</v>
      </c>
      <c r="AH101" s="420">
        <v>0</v>
      </c>
      <c r="AI101" s="421">
        <f>(AH71+AJ71/2)*((AH50-AI50)*(1+$AZ$46))*Faktory!$D$10</f>
        <v>0</v>
      </c>
      <c r="AJ101" s="363">
        <f t="shared" si="262"/>
        <v>0</v>
      </c>
      <c r="AK101" s="420">
        <v>0</v>
      </c>
      <c r="AL101" s="421">
        <f>(AK71+AM71/2)*((AK50-AL50)*(1+$AZ$46))*Faktory!$D$10</f>
        <v>0</v>
      </c>
      <c r="AM101" s="363">
        <f t="shared" si="263"/>
        <v>0</v>
      </c>
      <c r="AN101" s="420">
        <v>0</v>
      </c>
      <c r="AO101" s="421">
        <f>(AN71+AP71/2)*((AN50-AO50)*(1+$AZ$46))*Faktory!$D$10</f>
        <v>0</v>
      </c>
      <c r="AP101" s="363">
        <f t="shared" si="264"/>
        <v>0</v>
      </c>
      <c r="AQ101" s="420">
        <v>0</v>
      </c>
      <c r="AR101" s="421">
        <f>(AQ71+AS71/2)*((AQ50-AR50)*(1+$AZ$46))*Faktory!$D$10</f>
        <v>0</v>
      </c>
      <c r="AS101" s="363">
        <f t="shared" si="265"/>
        <v>0</v>
      </c>
      <c r="AT101" s="420">
        <v>0</v>
      </c>
      <c r="AU101" s="421">
        <f>(AT71+AV71/2)*((AT50-AU50)*(1+$AZ$46))*Faktory!$D$10</f>
        <v>0</v>
      </c>
      <c r="AV101" s="363">
        <f t="shared" si="266"/>
        <v>0</v>
      </c>
      <c r="AW101" s="420">
        <v>0</v>
      </c>
      <c r="AX101" s="421">
        <f>(AW71+AY71/2)*((AW50-AX50)*(1+$AZ$46))*Faktory!$D$10</f>
        <v>0</v>
      </c>
      <c r="AY101" s="363">
        <f t="shared" si="267"/>
        <v>0</v>
      </c>
    </row>
    <row r="102" spans="1:51" ht="16">
      <c r="A102" s="806"/>
      <c r="B102" s="808"/>
      <c r="C102" s="409" t="s">
        <v>120</v>
      </c>
      <c r="D102" s="410">
        <f t="shared" si="121"/>
        <v>0</v>
      </c>
      <c r="E102" s="411">
        <f t="shared" si="122"/>
        <v>0</v>
      </c>
      <c r="F102" s="412">
        <f t="shared" si="123"/>
        <v>0</v>
      </c>
      <c r="G102" s="419">
        <v>0</v>
      </c>
      <c r="H102" s="420">
        <f>(G72+I72/2)*((G51-H51)*(1+$AZ$46))*Faktory!$D$10</f>
        <v>0</v>
      </c>
      <c r="I102" s="361">
        <f t="shared" si="253"/>
        <v>0</v>
      </c>
      <c r="J102" s="420">
        <v>0</v>
      </c>
      <c r="K102" s="420">
        <f>(J72+L72/2)*((J51-K51)*(1+$AZ$46))*Faktory!$D$10</f>
        <v>0</v>
      </c>
      <c r="L102" s="361">
        <f t="shared" si="254"/>
        <v>0</v>
      </c>
      <c r="M102" s="420">
        <v>0</v>
      </c>
      <c r="N102" s="420">
        <f>(M72+O72/2)*((M51-N51)*(1+$AZ$46))*Faktory!$D$10</f>
        <v>0</v>
      </c>
      <c r="O102" s="361">
        <f t="shared" si="255"/>
        <v>0</v>
      </c>
      <c r="P102" s="420">
        <v>0</v>
      </c>
      <c r="Q102" s="421">
        <f>(P72+R72/2)*((P51-Q51)*(1+$AZ$46))*Faktory!$D$10</f>
        <v>0</v>
      </c>
      <c r="R102" s="363">
        <f t="shared" si="256"/>
        <v>0</v>
      </c>
      <c r="S102" s="420">
        <v>0</v>
      </c>
      <c r="T102" s="421">
        <f>(S72+U72/2)*((S51-T51)*(1+$AZ$46))*Faktory!$D$10</f>
        <v>0</v>
      </c>
      <c r="U102" s="363">
        <f t="shared" si="257"/>
        <v>0</v>
      </c>
      <c r="V102" s="420">
        <v>0</v>
      </c>
      <c r="W102" s="421">
        <f>(V72+X72/2)*((V51-W51)*(1+$AZ$46))*Faktory!$D$10</f>
        <v>0</v>
      </c>
      <c r="X102" s="363">
        <f t="shared" si="258"/>
        <v>0</v>
      </c>
      <c r="Y102" s="420">
        <v>0</v>
      </c>
      <c r="Z102" s="421">
        <f>(Y72+AA72/2)*((Y51-Z51)*(1+$AZ$46))*Faktory!$D$10</f>
        <v>0</v>
      </c>
      <c r="AA102" s="363">
        <f t="shared" si="259"/>
        <v>0</v>
      </c>
      <c r="AB102" s="420">
        <v>0</v>
      </c>
      <c r="AC102" s="421">
        <f>(AB72+AD72/2)*((AB51-AC51)*(1+$AZ$46))*Faktory!$D$10</f>
        <v>0</v>
      </c>
      <c r="AD102" s="363">
        <f t="shared" si="260"/>
        <v>0</v>
      </c>
      <c r="AE102" s="420">
        <v>0</v>
      </c>
      <c r="AF102" s="421">
        <f>(AE72+AG72/2)*((AE51-AF51)*(1+$AZ$46))*Faktory!$D$10</f>
        <v>0</v>
      </c>
      <c r="AG102" s="363">
        <f t="shared" si="261"/>
        <v>0</v>
      </c>
      <c r="AH102" s="420">
        <v>0</v>
      </c>
      <c r="AI102" s="421">
        <f>(AH72+AJ72/2)*((AH51-AI51)*(1+$AZ$46))*Faktory!$D$10</f>
        <v>0</v>
      </c>
      <c r="AJ102" s="363">
        <f t="shared" si="262"/>
        <v>0</v>
      </c>
      <c r="AK102" s="420">
        <v>0</v>
      </c>
      <c r="AL102" s="421">
        <f>(AK72+AM72/2)*((AK51-AL51)*(1+$AZ$46))*Faktory!$D$10</f>
        <v>0</v>
      </c>
      <c r="AM102" s="363">
        <f t="shared" si="263"/>
        <v>0</v>
      </c>
      <c r="AN102" s="420">
        <v>0</v>
      </c>
      <c r="AO102" s="421">
        <f>(AN72+AP72/2)*((AN51-AO51)*(1+$AZ$46))*Faktory!$D$10</f>
        <v>0</v>
      </c>
      <c r="AP102" s="363">
        <f t="shared" si="264"/>
        <v>0</v>
      </c>
      <c r="AQ102" s="420">
        <v>0</v>
      </c>
      <c r="AR102" s="421">
        <f>(AQ72+AS72/2)*((AQ51-AR51)*(1+$AZ$46))*Faktory!$D$10</f>
        <v>0</v>
      </c>
      <c r="AS102" s="363">
        <f t="shared" si="265"/>
        <v>0</v>
      </c>
      <c r="AT102" s="420">
        <v>0</v>
      </c>
      <c r="AU102" s="421">
        <f>(AT72+AV72/2)*((AT51-AU51)*(1+$AZ$46))*Faktory!$D$10</f>
        <v>0</v>
      </c>
      <c r="AV102" s="363">
        <f t="shared" si="266"/>
        <v>0</v>
      </c>
      <c r="AW102" s="420">
        <v>0</v>
      </c>
      <c r="AX102" s="421">
        <f>(AW72+AY72/2)*((AW51-AX51)*(1+$AZ$46))*Faktory!$D$10</f>
        <v>0</v>
      </c>
      <c r="AY102" s="363">
        <f t="shared" si="267"/>
        <v>0</v>
      </c>
    </row>
    <row r="103" spans="1:51" ht="16">
      <c r="A103" s="806"/>
      <c r="B103" s="808"/>
      <c r="C103" s="409" t="s">
        <v>121</v>
      </c>
      <c r="D103" s="410">
        <f t="shared" si="121"/>
        <v>0</v>
      </c>
      <c r="E103" s="411">
        <f t="shared" si="122"/>
        <v>0</v>
      </c>
      <c r="F103" s="412">
        <f t="shared" si="123"/>
        <v>0</v>
      </c>
      <c r="G103" s="419">
        <v>0</v>
      </c>
      <c r="H103" s="420">
        <f>(G73+I73/2)*((G52-H52)*(1+$AZ$46))*Faktory!$D$10</f>
        <v>0</v>
      </c>
      <c r="I103" s="361">
        <f t="shared" si="253"/>
        <v>0</v>
      </c>
      <c r="J103" s="420">
        <v>0</v>
      </c>
      <c r="K103" s="420">
        <f>(J73+L73/2)*((J52-K52)*(1+$AZ$46))*Faktory!$D$10</f>
        <v>0</v>
      </c>
      <c r="L103" s="361">
        <f t="shared" si="254"/>
        <v>0</v>
      </c>
      <c r="M103" s="420">
        <v>0</v>
      </c>
      <c r="N103" s="420">
        <f>(M73+O73/2)*((M52-N52)*(1+$AZ$46))*Faktory!$D$10</f>
        <v>0</v>
      </c>
      <c r="O103" s="361">
        <f t="shared" si="255"/>
        <v>0</v>
      </c>
      <c r="P103" s="420">
        <v>0</v>
      </c>
      <c r="Q103" s="421">
        <f>(P73+R73/2)*((P52-Q52)*(1+$AZ$46))*Faktory!$D$10</f>
        <v>0</v>
      </c>
      <c r="R103" s="363">
        <f t="shared" si="256"/>
        <v>0</v>
      </c>
      <c r="S103" s="420">
        <v>0</v>
      </c>
      <c r="T103" s="421">
        <f>(S73+U73/2)*((S52-T52)*(1+$AZ$46))*Faktory!$D$10</f>
        <v>0</v>
      </c>
      <c r="U103" s="363">
        <f t="shared" si="257"/>
        <v>0</v>
      </c>
      <c r="V103" s="420">
        <v>0</v>
      </c>
      <c r="W103" s="421">
        <f>(V73+X73/2)*((V52-W52)*(1+$AZ$46))*Faktory!$D$10</f>
        <v>0</v>
      </c>
      <c r="X103" s="363">
        <f t="shared" si="258"/>
        <v>0</v>
      </c>
      <c r="Y103" s="420">
        <v>0</v>
      </c>
      <c r="Z103" s="421">
        <f>(Y73+AA73/2)*((Y52-Z52)*(1+$AZ$46))*Faktory!$D$10</f>
        <v>0</v>
      </c>
      <c r="AA103" s="363">
        <f t="shared" si="259"/>
        <v>0</v>
      </c>
      <c r="AB103" s="420">
        <v>0</v>
      </c>
      <c r="AC103" s="421">
        <f>(AB73+AD73/2)*((AB52-AC52)*(1+$AZ$46))*Faktory!$D$10</f>
        <v>0</v>
      </c>
      <c r="AD103" s="363">
        <f t="shared" si="260"/>
        <v>0</v>
      </c>
      <c r="AE103" s="420">
        <v>0</v>
      </c>
      <c r="AF103" s="421">
        <f>(AE73+AG73/2)*((AE52-AF52)*(1+$AZ$46))*Faktory!$D$10</f>
        <v>0</v>
      </c>
      <c r="AG103" s="363">
        <f t="shared" si="261"/>
        <v>0</v>
      </c>
      <c r="AH103" s="420">
        <v>0</v>
      </c>
      <c r="AI103" s="421">
        <f>(AH73+AJ73/2)*((AH52-AI52)*(1+$AZ$46))*Faktory!$D$10</f>
        <v>0</v>
      </c>
      <c r="AJ103" s="363">
        <f t="shared" si="262"/>
        <v>0</v>
      </c>
      <c r="AK103" s="420">
        <v>0</v>
      </c>
      <c r="AL103" s="421">
        <f>(AK73+AM73/2)*((AK52-AL52)*(1+$AZ$46))*Faktory!$D$10</f>
        <v>0</v>
      </c>
      <c r="AM103" s="363">
        <f t="shared" si="263"/>
        <v>0</v>
      </c>
      <c r="AN103" s="420">
        <v>0</v>
      </c>
      <c r="AO103" s="421">
        <f>(AN73+AP73/2)*((AN52-AO52)*(1+$AZ$46))*Faktory!$D$10</f>
        <v>0</v>
      </c>
      <c r="AP103" s="363">
        <f t="shared" si="264"/>
        <v>0</v>
      </c>
      <c r="AQ103" s="420">
        <v>0</v>
      </c>
      <c r="AR103" s="421">
        <f>(AQ73+AS73/2)*((AQ52-AR52)*(1+$AZ$46))*Faktory!$D$10</f>
        <v>0</v>
      </c>
      <c r="AS103" s="363">
        <f t="shared" si="265"/>
        <v>0</v>
      </c>
      <c r="AT103" s="420">
        <v>0</v>
      </c>
      <c r="AU103" s="421">
        <f>(AT73+AV73/2)*((AT52-AU52)*(1+$AZ$46))*Faktory!$D$10</f>
        <v>0</v>
      </c>
      <c r="AV103" s="363">
        <f t="shared" si="266"/>
        <v>0</v>
      </c>
      <c r="AW103" s="420">
        <v>0</v>
      </c>
      <c r="AX103" s="421">
        <f>(AW73+AY73/2)*((AW52-AX52)*(1+$AZ$46))*Faktory!$D$10</f>
        <v>0</v>
      </c>
      <c r="AY103" s="363">
        <f t="shared" si="267"/>
        <v>0</v>
      </c>
    </row>
    <row r="104" spans="1:51" ht="16">
      <c r="A104" s="806"/>
      <c r="B104" s="808"/>
      <c r="C104" s="409" t="s">
        <v>122</v>
      </c>
      <c r="D104" s="410">
        <f t="shared" si="121"/>
        <v>0</v>
      </c>
      <c r="E104" s="411">
        <f t="shared" si="122"/>
        <v>0</v>
      </c>
      <c r="F104" s="412">
        <f t="shared" si="123"/>
        <v>0</v>
      </c>
      <c r="G104" s="419">
        <v>0</v>
      </c>
      <c r="H104" s="420">
        <f>(G74+I74/2)*((G53-H53)*(1+$AZ$46))*Faktory!$D$10</f>
        <v>0</v>
      </c>
      <c r="I104" s="361">
        <f t="shared" si="253"/>
        <v>0</v>
      </c>
      <c r="J104" s="420">
        <v>0</v>
      </c>
      <c r="K104" s="420">
        <f>(J74+L74/2)*((J53-K53)*(1+$AZ$46))*Faktory!$D$10</f>
        <v>0</v>
      </c>
      <c r="L104" s="361">
        <f t="shared" si="254"/>
        <v>0</v>
      </c>
      <c r="M104" s="420">
        <v>0</v>
      </c>
      <c r="N104" s="420">
        <f>(M74+O74/2)*((M53-N53)*(1+$AZ$46))*Faktory!$D$10</f>
        <v>0</v>
      </c>
      <c r="O104" s="361">
        <f t="shared" si="255"/>
        <v>0</v>
      </c>
      <c r="P104" s="420">
        <v>0</v>
      </c>
      <c r="Q104" s="421">
        <f>(P74+R74/2)*((P53-Q53)*(1+$AZ$46))*Faktory!$D$10</f>
        <v>0</v>
      </c>
      <c r="R104" s="363">
        <f t="shared" si="256"/>
        <v>0</v>
      </c>
      <c r="S104" s="420">
        <v>0</v>
      </c>
      <c r="T104" s="421">
        <f>(S74+U74/2)*((S53-T53)*(1+$AZ$46))*Faktory!$D$10</f>
        <v>0</v>
      </c>
      <c r="U104" s="363">
        <f t="shared" si="257"/>
        <v>0</v>
      </c>
      <c r="V104" s="420">
        <v>0</v>
      </c>
      <c r="W104" s="421">
        <f>(V74+X74/2)*((V53-W53)*(1+$AZ$46))*Faktory!$D$10</f>
        <v>0</v>
      </c>
      <c r="X104" s="363">
        <f t="shared" si="258"/>
        <v>0</v>
      </c>
      <c r="Y104" s="420">
        <v>0</v>
      </c>
      <c r="Z104" s="421">
        <f>(Y74+AA74/2)*((Y53-Z53)*(1+$AZ$46))*Faktory!$D$10</f>
        <v>0</v>
      </c>
      <c r="AA104" s="363">
        <f t="shared" si="259"/>
        <v>0</v>
      </c>
      <c r="AB104" s="420">
        <v>0</v>
      </c>
      <c r="AC104" s="421">
        <f>(AB74+AD74/2)*((AB53-AC53)*(1+$AZ$46))*Faktory!$D$10</f>
        <v>0</v>
      </c>
      <c r="AD104" s="363">
        <f t="shared" si="260"/>
        <v>0</v>
      </c>
      <c r="AE104" s="420">
        <v>0</v>
      </c>
      <c r="AF104" s="421">
        <f>(AE74+AG74/2)*((AE53-AF53)*(1+$AZ$46))*Faktory!$D$10</f>
        <v>0</v>
      </c>
      <c r="AG104" s="363">
        <f t="shared" si="261"/>
        <v>0</v>
      </c>
      <c r="AH104" s="420">
        <v>0</v>
      </c>
      <c r="AI104" s="421">
        <f>(AH74+AJ74/2)*((AH53-AI53)*(1+$AZ$46))*Faktory!$D$10</f>
        <v>0</v>
      </c>
      <c r="AJ104" s="363">
        <f t="shared" si="262"/>
        <v>0</v>
      </c>
      <c r="AK104" s="420">
        <v>0</v>
      </c>
      <c r="AL104" s="421">
        <f>(AK74+AM74/2)*((AK53-AL53)*(1+$AZ$46))*Faktory!$D$10</f>
        <v>0</v>
      </c>
      <c r="AM104" s="363">
        <f t="shared" si="263"/>
        <v>0</v>
      </c>
      <c r="AN104" s="420">
        <v>0</v>
      </c>
      <c r="AO104" s="421">
        <f>(AN74+AP74/2)*((AN53-AO53)*(1+$AZ$46))*Faktory!$D$10</f>
        <v>0</v>
      </c>
      <c r="AP104" s="363">
        <f t="shared" si="264"/>
        <v>0</v>
      </c>
      <c r="AQ104" s="420">
        <v>0</v>
      </c>
      <c r="AR104" s="421">
        <f>(AQ74+AS74/2)*((AQ53-AR53)*(1+$AZ$46))*Faktory!$D$10</f>
        <v>0</v>
      </c>
      <c r="AS104" s="363">
        <f t="shared" si="265"/>
        <v>0</v>
      </c>
      <c r="AT104" s="420">
        <v>0</v>
      </c>
      <c r="AU104" s="421">
        <f>(AT74+AV74/2)*((AT53-AU53)*(1+$AZ$46))*Faktory!$D$10</f>
        <v>0</v>
      </c>
      <c r="AV104" s="363">
        <f t="shared" si="266"/>
        <v>0</v>
      </c>
      <c r="AW104" s="420">
        <v>0</v>
      </c>
      <c r="AX104" s="421">
        <f>(AW74+AY74/2)*((AW53-AX53)*(1+$AZ$46))*Faktory!$D$10</f>
        <v>0</v>
      </c>
      <c r="AY104" s="363">
        <f t="shared" si="267"/>
        <v>0</v>
      </c>
    </row>
    <row r="105" spans="1:51" ht="16">
      <c r="A105" s="806"/>
      <c r="B105" s="808"/>
      <c r="C105" s="409" t="s">
        <v>123</v>
      </c>
      <c r="D105" s="410">
        <f t="shared" si="121"/>
        <v>0</v>
      </c>
      <c r="E105" s="411">
        <f t="shared" si="122"/>
        <v>0</v>
      </c>
      <c r="F105" s="412">
        <f t="shared" si="123"/>
        <v>0</v>
      </c>
      <c r="G105" s="419">
        <v>0</v>
      </c>
      <c r="H105" s="420">
        <f>(G75+I75/2)*((G54-H54)*(1+$AZ$46))*Faktory!$D$10</f>
        <v>0</v>
      </c>
      <c r="I105" s="361">
        <f t="shared" si="253"/>
        <v>0</v>
      </c>
      <c r="J105" s="420">
        <v>0</v>
      </c>
      <c r="K105" s="420">
        <f>(J75+L75/2)*((J54-K54)*(1+$AZ$46))*Faktory!$D$10</f>
        <v>0</v>
      </c>
      <c r="L105" s="361">
        <f t="shared" si="254"/>
        <v>0</v>
      </c>
      <c r="M105" s="420">
        <v>0</v>
      </c>
      <c r="N105" s="420">
        <f>(M75+O75/2)*((M54-N54)*(1+$AZ$46))*Faktory!$D$10</f>
        <v>0</v>
      </c>
      <c r="O105" s="361">
        <f t="shared" si="255"/>
        <v>0</v>
      </c>
      <c r="P105" s="420">
        <v>0</v>
      </c>
      <c r="Q105" s="421">
        <f>(P75+R75/2)*((P54-Q54)*(1+$AZ$46))*Faktory!$D$10</f>
        <v>0</v>
      </c>
      <c r="R105" s="363">
        <f t="shared" si="256"/>
        <v>0</v>
      </c>
      <c r="S105" s="420">
        <v>0</v>
      </c>
      <c r="T105" s="421">
        <f>(S75+U75/2)*((S54-T54)*(1+$AZ$46))*Faktory!$D$10</f>
        <v>0</v>
      </c>
      <c r="U105" s="363">
        <f t="shared" si="257"/>
        <v>0</v>
      </c>
      <c r="V105" s="420">
        <v>0</v>
      </c>
      <c r="W105" s="421">
        <f>(V75+X75/2)*((V54-W54)*(1+$AZ$46))*Faktory!$D$10</f>
        <v>0</v>
      </c>
      <c r="X105" s="363">
        <f t="shared" si="258"/>
        <v>0</v>
      </c>
      <c r="Y105" s="420">
        <v>0</v>
      </c>
      <c r="Z105" s="421">
        <f>(Y75+AA75/2)*((Y54-Z54)*(1+$AZ$46))*Faktory!$D$10</f>
        <v>0</v>
      </c>
      <c r="AA105" s="363">
        <f t="shared" si="259"/>
        <v>0</v>
      </c>
      <c r="AB105" s="420">
        <v>0</v>
      </c>
      <c r="AC105" s="421">
        <f>(AB75+AD75/2)*((AB54-AC54)*(1+$AZ$46))*Faktory!$D$10</f>
        <v>0</v>
      </c>
      <c r="AD105" s="363">
        <f t="shared" si="260"/>
        <v>0</v>
      </c>
      <c r="AE105" s="420">
        <v>0</v>
      </c>
      <c r="AF105" s="421">
        <f>(AE75+AG75/2)*((AE54-AF54)*(1+$AZ$46))*Faktory!$D$10</f>
        <v>0</v>
      </c>
      <c r="AG105" s="363">
        <f t="shared" si="261"/>
        <v>0</v>
      </c>
      <c r="AH105" s="420">
        <v>0</v>
      </c>
      <c r="AI105" s="421">
        <f>(AH75+AJ75/2)*((AH54-AI54)*(1+$AZ$46))*Faktory!$D$10</f>
        <v>0</v>
      </c>
      <c r="AJ105" s="363">
        <f t="shared" si="262"/>
        <v>0</v>
      </c>
      <c r="AK105" s="420">
        <v>0</v>
      </c>
      <c r="AL105" s="421">
        <f>(AK75+AM75/2)*((AK54-AL54)*(1+$AZ$46))*Faktory!$D$10</f>
        <v>0</v>
      </c>
      <c r="AM105" s="363">
        <f t="shared" si="263"/>
        <v>0</v>
      </c>
      <c r="AN105" s="420">
        <v>0</v>
      </c>
      <c r="AO105" s="421">
        <f>(AN75+AP75/2)*((AN54-AO54)*(1+$AZ$46))*Faktory!$D$10</f>
        <v>0</v>
      </c>
      <c r="AP105" s="363">
        <f t="shared" si="264"/>
        <v>0</v>
      </c>
      <c r="AQ105" s="420">
        <v>0</v>
      </c>
      <c r="AR105" s="421">
        <f>(AQ75+AS75/2)*((AQ54-AR54)*(1+$AZ$46))*Faktory!$D$10</f>
        <v>0</v>
      </c>
      <c r="AS105" s="363">
        <f t="shared" si="265"/>
        <v>0</v>
      </c>
      <c r="AT105" s="420">
        <v>0</v>
      </c>
      <c r="AU105" s="421">
        <f>(AT75+AV75/2)*((AT54-AU54)*(1+$AZ$46))*Faktory!$D$10</f>
        <v>0</v>
      </c>
      <c r="AV105" s="363">
        <f t="shared" si="266"/>
        <v>0</v>
      </c>
      <c r="AW105" s="420">
        <v>0</v>
      </c>
      <c r="AX105" s="421">
        <f>(AW75+AY75/2)*((AW54-AX54)*(1+$AZ$46))*Faktory!$D$10</f>
        <v>0</v>
      </c>
      <c r="AY105" s="363">
        <f t="shared" si="267"/>
        <v>0</v>
      </c>
    </row>
    <row r="106" spans="1:51" ht="17" thickBot="1">
      <c r="A106" s="807"/>
      <c r="B106" s="809"/>
      <c r="C106" s="422" t="s">
        <v>124</v>
      </c>
      <c r="D106" s="423">
        <f t="shared" si="121"/>
        <v>0</v>
      </c>
      <c r="E106" s="424">
        <f t="shared" si="122"/>
        <v>0</v>
      </c>
      <c r="F106" s="425">
        <f t="shared" si="123"/>
        <v>0</v>
      </c>
      <c r="G106" s="426">
        <v>0</v>
      </c>
      <c r="H106" s="427">
        <f>(G76+I76/2)*((G55-H55)*(1+$AZ$46))*Faktory!$D$10</f>
        <v>0</v>
      </c>
      <c r="I106" s="370">
        <f t="shared" si="253"/>
        <v>0</v>
      </c>
      <c r="J106" s="427">
        <v>0</v>
      </c>
      <c r="K106" s="427">
        <f>(J76+L76/2)*((J55-K55)*(1+$AZ$46))*Faktory!$D$10</f>
        <v>0</v>
      </c>
      <c r="L106" s="370">
        <f t="shared" si="254"/>
        <v>0</v>
      </c>
      <c r="M106" s="427">
        <v>0</v>
      </c>
      <c r="N106" s="427">
        <f>(M76+O76/2)*((M55-N55)*(1+$AZ$46))*Faktory!$D$10</f>
        <v>0</v>
      </c>
      <c r="O106" s="370">
        <f t="shared" si="255"/>
        <v>0</v>
      </c>
      <c r="P106" s="427">
        <v>0</v>
      </c>
      <c r="Q106" s="428">
        <f>(P76+R76/2)*((P55-Q55)*(1+$AZ$46))*Faktory!$D$10</f>
        <v>0</v>
      </c>
      <c r="R106" s="372">
        <f t="shared" si="256"/>
        <v>0</v>
      </c>
      <c r="S106" s="427">
        <v>0</v>
      </c>
      <c r="T106" s="428">
        <f>(S76+U76/2)*((S55-T55)*(1+$AZ$46))*Faktory!$D$10</f>
        <v>0</v>
      </c>
      <c r="U106" s="372">
        <f t="shared" si="257"/>
        <v>0</v>
      </c>
      <c r="V106" s="427">
        <v>0</v>
      </c>
      <c r="W106" s="428">
        <f>(V76+X76/2)*((V55-W55)*(1+$AZ$46))*Faktory!$D$10</f>
        <v>0</v>
      </c>
      <c r="X106" s="372">
        <f t="shared" si="258"/>
        <v>0</v>
      </c>
      <c r="Y106" s="427">
        <v>0</v>
      </c>
      <c r="Z106" s="428">
        <f>(Y76+AA76/2)*((Y55-Z55)*(1+$AZ$46))*Faktory!$D$10</f>
        <v>0</v>
      </c>
      <c r="AA106" s="372">
        <f t="shared" si="259"/>
        <v>0</v>
      </c>
      <c r="AB106" s="427">
        <v>0</v>
      </c>
      <c r="AC106" s="428">
        <f>(AB76+AD76/2)*((AB55-AC55)*(1+$AZ$46))*Faktory!$D$10</f>
        <v>0</v>
      </c>
      <c r="AD106" s="372">
        <f t="shared" si="260"/>
        <v>0</v>
      </c>
      <c r="AE106" s="427">
        <v>0</v>
      </c>
      <c r="AF106" s="428">
        <f>(AE76+AG76/2)*((AE55-AF55)*(1+$AZ$46))*Faktory!$D$10</f>
        <v>0</v>
      </c>
      <c r="AG106" s="372">
        <f t="shared" si="261"/>
        <v>0</v>
      </c>
      <c r="AH106" s="427">
        <v>0</v>
      </c>
      <c r="AI106" s="428">
        <f>(AH76+AJ76/2)*((AH55-AI55)*(1+$AZ$46))*Faktory!$D$10</f>
        <v>0</v>
      </c>
      <c r="AJ106" s="372">
        <f t="shared" si="262"/>
        <v>0</v>
      </c>
      <c r="AK106" s="427">
        <v>0</v>
      </c>
      <c r="AL106" s="428">
        <f>(AK76+AM76/2)*((AK55-AL55)*(1+$AZ$46))*Faktory!$D$10</f>
        <v>0</v>
      </c>
      <c r="AM106" s="372">
        <f t="shared" si="263"/>
        <v>0</v>
      </c>
      <c r="AN106" s="427">
        <v>0</v>
      </c>
      <c r="AO106" s="428">
        <f>(AN76+AP76/2)*((AN55-AO55)*(1+$AZ$46))*Faktory!$D$10</f>
        <v>0</v>
      </c>
      <c r="AP106" s="372">
        <f t="shared" si="264"/>
        <v>0</v>
      </c>
      <c r="AQ106" s="427">
        <v>0</v>
      </c>
      <c r="AR106" s="428">
        <f>(AQ76+AS76/2)*((AQ55-AR55)*(1+$AZ$46))*Faktory!$D$10</f>
        <v>0</v>
      </c>
      <c r="AS106" s="372">
        <f t="shared" si="265"/>
        <v>0</v>
      </c>
      <c r="AT106" s="427">
        <v>0</v>
      </c>
      <c r="AU106" s="428">
        <f>(AT76+AV76/2)*((AT55-AU55)*(1+$AZ$46))*Faktory!$D$10</f>
        <v>0</v>
      </c>
      <c r="AV106" s="372">
        <f t="shared" si="266"/>
        <v>0</v>
      </c>
      <c r="AW106" s="427">
        <v>0</v>
      </c>
      <c r="AX106" s="428">
        <f>(AW76+AY76/2)*((AW55-AX55)*(1+$AZ$46))*Faktory!$D$10</f>
        <v>0</v>
      </c>
      <c r="AY106" s="372">
        <f t="shared" si="267"/>
        <v>0</v>
      </c>
    </row>
    <row r="107" spans="1:51" ht="16">
      <c r="A107" s="806" t="s">
        <v>199</v>
      </c>
      <c r="B107" s="808" t="s">
        <v>190</v>
      </c>
      <c r="C107" s="409" t="s">
        <v>115</v>
      </c>
      <c r="D107" s="410">
        <f t="shared" si="121"/>
        <v>43143.57</v>
      </c>
      <c r="E107" s="411">
        <f t="shared" si="122"/>
        <v>43143.57</v>
      </c>
      <c r="F107" s="412">
        <f t="shared" si="123"/>
        <v>0</v>
      </c>
      <c r="G107" s="429">
        <f t="shared" ref="G107:H116" si="268">G6*G16</f>
        <v>7200</v>
      </c>
      <c r="H107" s="430">
        <f t="shared" si="268"/>
        <v>7200</v>
      </c>
      <c r="I107" s="352">
        <f>H107-G107</f>
        <v>0</v>
      </c>
      <c r="J107" s="430">
        <f t="shared" ref="J107:K116" si="269">J6*J16</f>
        <v>63</v>
      </c>
      <c r="K107" s="430">
        <f t="shared" si="269"/>
        <v>63</v>
      </c>
      <c r="L107" s="352">
        <f t="shared" ref="L107:L116" si="270">K107-J107</f>
        <v>0</v>
      </c>
      <c r="M107" s="430">
        <f t="shared" ref="M107:N116" si="271">M6*M16</f>
        <v>29399.999999999996</v>
      </c>
      <c r="N107" s="430">
        <f t="shared" si="271"/>
        <v>29399.999999999996</v>
      </c>
      <c r="O107" s="352">
        <f t="shared" ref="O107:O116" si="272">N107-M107</f>
        <v>0</v>
      </c>
      <c r="P107" s="430">
        <f t="shared" ref="P107:Q107" si="273">P6*P16</f>
        <v>90</v>
      </c>
      <c r="Q107" s="431">
        <f t="shared" si="273"/>
        <v>90</v>
      </c>
      <c r="R107" s="432">
        <f t="shared" ref="R107:R116" si="274">Q107-P107</f>
        <v>0</v>
      </c>
      <c r="S107" s="430">
        <f t="shared" ref="S107:T107" si="275">S6*S16</f>
        <v>6300</v>
      </c>
      <c r="T107" s="431">
        <f t="shared" si="275"/>
        <v>6300</v>
      </c>
      <c r="U107" s="432">
        <f t="shared" ref="U107:U116" si="276">T107-S107</f>
        <v>0</v>
      </c>
      <c r="V107" s="430">
        <f t="shared" ref="V107:W107" si="277">V6*V16</f>
        <v>27</v>
      </c>
      <c r="W107" s="431">
        <f t="shared" si="277"/>
        <v>27</v>
      </c>
      <c r="X107" s="432">
        <f t="shared" ref="X107:X116" si="278">W107-V107</f>
        <v>0</v>
      </c>
      <c r="Y107" s="430">
        <f t="shared" ref="Y107:Z107" si="279">Y6*Y16</f>
        <v>18</v>
      </c>
      <c r="Z107" s="431">
        <f t="shared" si="279"/>
        <v>18</v>
      </c>
      <c r="AA107" s="432">
        <f t="shared" ref="AA107:AA116" si="280">Z107-Y107</f>
        <v>0</v>
      </c>
      <c r="AB107" s="430">
        <f t="shared" ref="AB107:AC107" si="281">AB6*AB16</f>
        <v>45.57</v>
      </c>
      <c r="AC107" s="431">
        <f t="shared" si="281"/>
        <v>45.57</v>
      </c>
      <c r="AD107" s="432">
        <f t="shared" ref="AD107:AD116" si="282">AC107-AB107</f>
        <v>0</v>
      </c>
      <c r="AE107" s="430">
        <f t="shared" ref="AE107:AF107" si="283">AE6*AE16</f>
        <v>0</v>
      </c>
      <c r="AF107" s="431">
        <f t="shared" si="283"/>
        <v>0</v>
      </c>
      <c r="AG107" s="432">
        <f t="shared" ref="AG107:AG116" si="284">AF107-AE107</f>
        <v>0</v>
      </c>
      <c r="AH107" s="430">
        <f t="shared" ref="AH107:AI107" si="285">AH6*AH16</f>
        <v>0</v>
      </c>
      <c r="AI107" s="431">
        <f t="shared" si="285"/>
        <v>0</v>
      </c>
      <c r="AJ107" s="432">
        <f t="shared" ref="AJ107:AJ116" si="286">AI107-AH107</f>
        <v>0</v>
      </c>
      <c r="AK107" s="430">
        <f t="shared" ref="AK107:AL107" si="287">AK6*AK16</f>
        <v>0</v>
      </c>
      <c r="AL107" s="431">
        <f t="shared" si="287"/>
        <v>0</v>
      </c>
      <c r="AM107" s="432">
        <f t="shared" ref="AM107:AM116" si="288">AL107-AK107</f>
        <v>0</v>
      </c>
      <c r="AN107" s="430">
        <f t="shared" ref="AN107:AO107" si="289">AN6*AN16</f>
        <v>0</v>
      </c>
      <c r="AO107" s="431">
        <f t="shared" si="289"/>
        <v>0</v>
      </c>
      <c r="AP107" s="432">
        <f t="shared" ref="AP107:AP116" si="290">AO107-AN107</f>
        <v>0</v>
      </c>
      <c r="AQ107" s="430">
        <f t="shared" ref="AQ107:AR107" si="291">AQ6*AQ16</f>
        <v>0</v>
      </c>
      <c r="AR107" s="431">
        <f t="shared" si="291"/>
        <v>0</v>
      </c>
      <c r="AS107" s="432">
        <f t="shared" ref="AS107:AS116" si="292">AR107-AQ107</f>
        <v>0</v>
      </c>
      <c r="AT107" s="430">
        <f t="shared" ref="AT107:AU107" si="293">AT6*AT16</f>
        <v>0</v>
      </c>
      <c r="AU107" s="431">
        <f t="shared" si="293"/>
        <v>0</v>
      </c>
      <c r="AV107" s="432">
        <f t="shared" ref="AV107:AV116" si="294">AU107-AT107</f>
        <v>0</v>
      </c>
      <c r="AW107" s="430">
        <f t="shared" ref="AW107:AX116" si="295">AW6*AW16</f>
        <v>0</v>
      </c>
      <c r="AX107" s="431">
        <f t="shared" si="295"/>
        <v>0</v>
      </c>
      <c r="AY107" s="432">
        <f t="shared" ref="AY107:AY116" si="296">AX107-AW107</f>
        <v>0</v>
      </c>
    </row>
    <row r="108" spans="1:51" ht="16">
      <c r="A108" s="806"/>
      <c r="B108" s="808"/>
      <c r="C108" s="409" t="s">
        <v>116</v>
      </c>
      <c r="D108" s="410">
        <f t="shared" si="121"/>
        <v>43143.57</v>
      </c>
      <c r="E108" s="411">
        <f t="shared" si="122"/>
        <v>43143.57</v>
      </c>
      <c r="F108" s="412">
        <f t="shared" si="123"/>
        <v>0</v>
      </c>
      <c r="G108" s="419">
        <f t="shared" si="268"/>
        <v>7200</v>
      </c>
      <c r="H108" s="420">
        <f t="shared" si="268"/>
        <v>7200</v>
      </c>
      <c r="I108" s="361">
        <f t="shared" ref="I108:I116" si="297">H108-G108</f>
        <v>0</v>
      </c>
      <c r="J108" s="420">
        <f t="shared" si="269"/>
        <v>63</v>
      </c>
      <c r="K108" s="420">
        <f t="shared" si="269"/>
        <v>63</v>
      </c>
      <c r="L108" s="361">
        <f t="shared" si="270"/>
        <v>0</v>
      </c>
      <c r="M108" s="420">
        <f t="shared" si="271"/>
        <v>29399.999999999996</v>
      </c>
      <c r="N108" s="420">
        <f t="shared" si="271"/>
        <v>29399.999999999996</v>
      </c>
      <c r="O108" s="361">
        <f t="shared" si="272"/>
        <v>0</v>
      </c>
      <c r="P108" s="420">
        <f t="shared" ref="P108:Q108" si="298">P7*P17</f>
        <v>90</v>
      </c>
      <c r="Q108" s="421">
        <f t="shared" si="298"/>
        <v>90</v>
      </c>
      <c r="R108" s="363">
        <f t="shared" si="274"/>
        <v>0</v>
      </c>
      <c r="S108" s="420">
        <f t="shared" ref="S108:T108" si="299">S7*S17</f>
        <v>6300</v>
      </c>
      <c r="T108" s="421">
        <f t="shared" si="299"/>
        <v>6300</v>
      </c>
      <c r="U108" s="363">
        <f t="shared" si="276"/>
        <v>0</v>
      </c>
      <c r="V108" s="420">
        <f t="shared" ref="V108:W108" si="300">V7*V17</f>
        <v>27</v>
      </c>
      <c r="W108" s="421">
        <f t="shared" si="300"/>
        <v>27</v>
      </c>
      <c r="X108" s="363">
        <f t="shared" si="278"/>
        <v>0</v>
      </c>
      <c r="Y108" s="420">
        <f t="shared" ref="Y108:Z108" si="301">Y7*Y17</f>
        <v>18</v>
      </c>
      <c r="Z108" s="421">
        <f t="shared" si="301"/>
        <v>18</v>
      </c>
      <c r="AA108" s="363">
        <f t="shared" si="280"/>
        <v>0</v>
      </c>
      <c r="AB108" s="420">
        <f t="shared" ref="AB108:AC108" si="302">AB7*AB17</f>
        <v>45.57</v>
      </c>
      <c r="AC108" s="421">
        <f t="shared" si="302"/>
        <v>45.57</v>
      </c>
      <c r="AD108" s="363">
        <f t="shared" si="282"/>
        <v>0</v>
      </c>
      <c r="AE108" s="420">
        <f t="shared" ref="AE108:AF108" si="303">AE7*AE17</f>
        <v>0</v>
      </c>
      <c r="AF108" s="421">
        <f t="shared" si="303"/>
        <v>0</v>
      </c>
      <c r="AG108" s="363">
        <f t="shared" si="284"/>
        <v>0</v>
      </c>
      <c r="AH108" s="420">
        <f t="shared" ref="AH108:AI108" si="304">AH7*AH17</f>
        <v>0</v>
      </c>
      <c r="AI108" s="421">
        <f t="shared" si="304"/>
        <v>0</v>
      </c>
      <c r="AJ108" s="363">
        <f t="shared" si="286"/>
        <v>0</v>
      </c>
      <c r="AK108" s="420">
        <f t="shared" ref="AK108:AL108" si="305">AK7*AK17</f>
        <v>0</v>
      </c>
      <c r="AL108" s="421">
        <f t="shared" si="305"/>
        <v>0</v>
      </c>
      <c r="AM108" s="363">
        <f t="shared" si="288"/>
        <v>0</v>
      </c>
      <c r="AN108" s="420">
        <f t="shared" ref="AN108:AO108" si="306">AN7*AN17</f>
        <v>0</v>
      </c>
      <c r="AO108" s="421">
        <f t="shared" si="306"/>
        <v>0</v>
      </c>
      <c r="AP108" s="363">
        <f t="shared" si="290"/>
        <v>0</v>
      </c>
      <c r="AQ108" s="420">
        <f t="shared" ref="AQ108:AR108" si="307">AQ7*AQ17</f>
        <v>0</v>
      </c>
      <c r="AR108" s="421">
        <f t="shared" si="307"/>
        <v>0</v>
      </c>
      <c r="AS108" s="363">
        <f t="shared" si="292"/>
        <v>0</v>
      </c>
      <c r="AT108" s="420">
        <f t="shared" ref="AT108:AU108" si="308">AT7*AT17</f>
        <v>0</v>
      </c>
      <c r="AU108" s="421">
        <f t="shared" si="308"/>
        <v>0</v>
      </c>
      <c r="AV108" s="363">
        <f t="shared" si="294"/>
        <v>0</v>
      </c>
      <c r="AW108" s="420">
        <f t="shared" si="295"/>
        <v>0</v>
      </c>
      <c r="AX108" s="421">
        <f t="shared" si="295"/>
        <v>0</v>
      </c>
      <c r="AY108" s="363">
        <f t="shared" si="296"/>
        <v>0</v>
      </c>
    </row>
    <row r="109" spans="1:51" ht="16">
      <c r="A109" s="806"/>
      <c r="B109" s="808"/>
      <c r="C109" s="409" t="s">
        <v>117</v>
      </c>
      <c r="D109" s="410">
        <f t="shared" si="121"/>
        <v>43143.57</v>
      </c>
      <c r="E109" s="411">
        <f t="shared" si="122"/>
        <v>0</v>
      </c>
      <c r="F109" s="412">
        <f t="shared" si="123"/>
        <v>-43143.57</v>
      </c>
      <c r="G109" s="419">
        <f t="shared" si="268"/>
        <v>7200</v>
      </c>
      <c r="H109" s="420">
        <f t="shared" si="268"/>
        <v>0</v>
      </c>
      <c r="I109" s="361">
        <f t="shared" si="297"/>
        <v>-7200</v>
      </c>
      <c r="J109" s="420">
        <f t="shared" si="269"/>
        <v>63</v>
      </c>
      <c r="K109" s="420">
        <f t="shared" si="269"/>
        <v>0</v>
      </c>
      <c r="L109" s="361">
        <f t="shared" si="270"/>
        <v>-63</v>
      </c>
      <c r="M109" s="420">
        <f t="shared" si="271"/>
        <v>29399.999999999996</v>
      </c>
      <c r="N109" s="420">
        <f t="shared" si="271"/>
        <v>0</v>
      </c>
      <c r="O109" s="361">
        <f t="shared" si="272"/>
        <v>-29399.999999999996</v>
      </c>
      <c r="P109" s="420">
        <f t="shared" ref="P109:Q109" si="309">P8*P18</f>
        <v>90</v>
      </c>
      <c r="Q109" s="421">
        <f t="shared" si="309"/>
        <v>0</v>
      </c>
      <c r="R109" s="363">
        <f t="shared" si="274"/>
        <v>-90</v>
      </c>
      <c r="S109" s="420">
        <f t="shared" ref="S109:T109" si="310">S8*S18</f>
        <v>6300</v>
      </c>
      <c r="T109" s="421">
        <f t="shared" si="310"/>
        <v>0</v>
      </c>
      <c r="U109" s="363">
        <f t="shared" si="276"/>
        <v>-6300</v>
      </c>
      <c r="V109" s="420">
        <f t="shared" ref="V109:W109" si="311">V8*V18</f>
        <v>27</v>
      </c>
      <c r="W109" s="421">
        <f t="shared" si="311"/>
        <v>0</v>
      </c>
      <c r="X109" s="363">
        <f t="shared" si="278"/>
        <v>-27</v>
      </c>
      <c r="Y109" s="420">
        <f t="shared" ref="Y109:Z109" si="312">Y8*Y18</f>
        <v>18</v>
      </c>
      <c r="Z109" s="421">
        <f t="shared" si="312"/>
        <v>0</v>
      </c>
      <c r="AA109" s="363">
        <f t="shared" si="280"/>
        <v>-18</v>
      </c>
      <c r="AB109" s="420">
        <f t="shared" ref="AB109:AC109" si="313">AB8*AB18</f>
        <v>45.57</v>
      </c>
      <c r="AC109" s="421">
        <f t="shared" si="313"/>
        <v>0</v>
      </c>
      <c r="AD109" s="363">
        <f t="shared" si="282"/>
        <v>-45.57</v>
      </c>
      <c r="AE109" s="420">
        <f t="shared" ref="AE109:AF109" si="314">AE8*AE18</f>
        <v>0</v>
      </c>
      <c r="AF109" s="421">
        <f t="shared" si="314"/>
        <v>0</v>
      </c>
      <c r="AG109" s="363">
        <f t="shared" si="284"/>
        <v>0</v>
      </c>
      <c r="AH109" s="420">
        <f t="shared" ref="AH109:AI109" si="315">AH8*AH18</f>
        <v>0</v>
      </c>
      <c r="AI109" s="421">
        <f t="shared" si="315"/>
        <v>0</v>
      </c>
      <c r="AJ109" s="363">
        <f t="shared" si="286"/>
        <v>0</v>
      </c>
      <c r="AK109" s="420">
        <f t="shared" ref="AK109:AL109" si="316">AK8*AK18</f>
        <v>0</v>
      </c>
      <c r="AL109" s="421">
        <f t="shared" si="316"/>
        <v>0</v>
      </c>
      <c r="AM109" s="363">
        <f t="shared" si="288"/>
        <v>0</v>
      </c>
      <c r="AN109" s="420">
        <f t="shared" ref="AN109:AO109" si="317">AN8*AN18</f>
        <v>0</v>
      </c>
      <c r="AO109" s="421">
        <f t="shared" si="317"/>
        <v>0</v>
      </c>
      <c r="AP109" s="363">
        <f t="shared" si="290"/>
        <v>0</v>
      </c>
      <c r="AQ109" s="420">
        <f t="shared" ref="AQ109:AR109" si="318">AQ8*AQ18</f>
        <v>0</v>
      </c>
      <c r="AR109" s="421">
        <f t="shared" si="318"/>
        <v>0</v>
      </c>
      <c r="AS109" s="363">
        <f t="shared" si="292"/>
        <v>0</v>
      </c>
      <c r="AT109" s="420">
        <f t="shared" ref="AT109:AU109" si="319">AT8*AT18</f>
        <v>0</v>
      </c>
      <c r="AU109" s="421">
        <f t="shared" si="319"/>
        <v>0</v>
      </c>
      <c r="AV109" s="363">
        <f t="shared" si="294"/>
        <v>0</v>
      </c>
      <c r="AW109" s="420">
        <f t="shared" si="295"/>
        <v>0</v>
      </c>
      <c r="AX109" s="421">
        <f t="shared" si="295"/>
        <v>0</v>
      </c>
      <c r="AY109" s="363">
        <f t="shared" si="296"/>
        <v>0</v>
      </c>
    </row>
    <row r="110" spans="1:51" ht="16">
      <c r="A110" s="806"/>
      <c r="B110" s="808"/>
      <c r="C110" s="409" t="s">
        <v>118</v>
      </c>
      <c r="D110" s="410">
        <f t="shared" si="121"/>
        <v>43143.57</v>
      </c>
      <c r="E110" s="411">
        <f t="shared" si="122"/>
        <v>0</v>
      </c>
      <c r="F110" s="412">
        <f t="shared" si="123"/>
        <v>-43143.57</v>
      </c>
      <c r="G110" s="419">
        <f t="shared" si="268"/>
        <v>7200</v>
      </c>
      <c r="H110" s="420">
        <f t="shared" si="268"/>
        <v>0</v>
      </c>
      <c r="I110" s="361">
        <f t="shared" si="297"/>
        <v>-7200</v>
      </c>
      <c r="J110" s="420">
        <f t="shared" si="269"/>
        <v>63</v>
      </c>
      <c r="K110" s="420">
        <f t="shared" si="269"/>
        <v>0</v>
      </c>
      <c r="L110" s="361">
        <f t="shared" si="270"/>
        <v>-63</v>
      </c>
      <c r="M110" s="420">
        <f t="shared" si="271"/>
        <v>29399.999999999996</v>
      </c>
      <c r="N110" s="420">
        <f t="shared" si="271"/>
        <v>0</v>
      </c>
      <c r="O110" s="361">
        <f t="shared" si="272"/>
        <v>-29399.999999999996</v>
      </c>
      <c r="P110" s="420">
        <f t="shared" ref="P110:Q110" si="320">P9*P19</f>
        <v>90</v>
      </c>
      <c r="Q110" s="421">
        <f t="shared" si="320"/>
        <v>0</v>
      </c>
      <c r="R110" s="363">
        <f t="shared" si="274"/>
        <v>-90</v>
      </c>
      <c r="S110" s="420">
        <f t="shared" ref="S110:T110" si="321">S9*S19</f>
        <v>6300</v>
      </c>
      <c r="T110" s="421">
        <f t="shared" si="321"/>
        <v>0</v>
      </c>
      <c r="U110" s="363">
        <f t="shared" si="276"/>
        <v>-6300</v>
      </c>
      <c r="V110" s="420">
        <f t="shared" ref="V110:W110" si="322">V9*V19</f>
        <v>27</v>
      </c>
      <c r="W110" s="421">
        <f t="shared" si="322"/>
        <v>0</v>
      </c>
      <c r="X110" s="363">
        <f t="shared" si="278"/>
        <v>-27</v>
      </c>
      <c r="Y110" s="420">
        <f t="shared" ref="Y110:Z110" si="323">Y9*Y19</f>
        <v>18</v>
      </c>
      <c r="Z110" s="421">
        <f t="shared" si="323"/>
        <v>0</v>
      </c>
      <c r="AA110" s="363">
        <f t="shared" si="280"/>
        <v>-18</v>
      </c>
      <c r="AB110" s="420">
        <f t="shared" ref="AB110:AC110" si="324">AB9*AB19</f>
        <v>45.57</v>
      </c>
      <c r="AC110" s="421">
        <f t="shared" si="324"/>
        <v>0</v>
      </c>
      <c r="AD110" s="363">
        <f t="shared" si="282"/>
        <v>-45.57</v>
      </c>
      <c r="AE110" s="420">
        <f t="shared" ref="AE110:AF110" si="325">AE9*AE19</f>
        <v>0</v>
      </c>
      <c r="AF110" s="421">
        <f t="shared" si="325"/>
        <v>0</v>
      </c>
      <c r="AG110" s="363">
        <f t="shared" si="284"/>
        <v>0</v>
      </c>
      <c r="AH110" s="420">
        <f t="shared" ref="AH110:AI110" si="326">AH9*AH19</f>
        <v>0</v>
      </c>
      <c r="AI110" s="421">
        <f t="shared" si="326"/>
        <v>0</v>
      </c>
      <c r="AJ110" s="363">
        <f t="shared" si="286"/>
        <v>0</v>
      </c>
      <c r="AK110" s="420">
        <f t="shared" ref="AK110:AL110" si="327">AK9*AK19</f>
        <v>0</v>
      </c>
      <c r="AL110" s="421">
        <f t="shared" si="327"/>
        <v>0</v>
      </c>
      <c r="AM110" s="363">
        <f t="shared" si="288"/>
        <v>0</v>
      </c>
      <c r="AN110" s="420">
        <f t="shared" ref="AN110:AO110" si="328">AN9*AN19</f>
        <v>0</v>
      </c>
      <c r="AO110" s="421">
        <f t="shared" si="328"/>
        <v>0</v>
      </c>
      <c r="AP110" s="363">
        <f t="shared" si="290"/>
        <v>0</v>
      </c>
      <c r="AQ110" s="420">
        <f t="shared" ref="AQ110:AR110" si="329">AQ9*AQ19</f>
        <v>0</v>
      </c>
      <c r="AR110" s="421">
        <f t="shared" si="329"/>
        <v>0</v>
      </c>
      <c r="AS110" s="363">
        <f t="shared" si="292"/>
        <v>0</v>
      </c>
      <c r="AT110" s="420">
        <f t="shared" ref="AT110:AU110" si="330">AT9*AT19</f>
        <v>0</v>
      </c>
      <c r="AU110" s="421">
        <f t="shared" si="330"/>
        <v>0</v>
      </c>
      <c r="AV110" s="363">
        <f t="shared" si="294"/>
        <v>0</v>
      </c>
      <c r="AW110" s="420">
        <f t="shared" si="295"/>
        <v>0</v>
      </c>
      <c r="AX110" s="421">
        <f t="shared" si="295"/>
        <v>0</v>
      </c>
      <c r="AY110" s="363">
        <f t="shared" si="296"/>
        <v>0</v>
      </c>
    </row>
    <row r="111" spans="1:51" ht="16">
      <c r="A111" s="806"/>
      <c r="B111" s="808"/>
      <c r="C111" s="409" t="s">
        <v>119</v>
      </c>
      <c r="D111" s="410">
        <f t="shared" si="121"/>
        <v>43143.57</v>
      </c>
      <c r="E111" s="411">
        <f t="shared" si="122"/>
        <v>0</v>
      </c>
      <c r="F111" s="412">
        <f t="shared" si="123"/>
        <v>-43143.57</v>
      </c>
      <c r="G111" s="419">
        <f t="shared" si="268"/>
        <v>7200</v>
      </c>
      <c r="H111" s="420">
        <f t="shared" si="268"/>
        <v>0</v>
      </c>
      <c r="I111" s="361">
        <f t="shared" si="297"/>
        <v>-7200</v>
      </c>
      <c r="J111" s="420">
        <f t="shared" si="269"/>
        <v>63</v>
      </c>
      <c r="K111" s="420">
        <f t="shared" si="269"/>
        <v>0</v>
      </c>
      <c r="L111" s="361">
        <f t="shared" si="270"/>
        <v>-63</v>
      </c>
      <c r="M111" s="420">
        <f t="shared" si="271"/>
        <v>29399.999999999996</v>
      </c>
      <c r="N111" s="420">
        <f t="shared" si="271"/>
        <v>0</v>
      </c>
      <c r="O111" s="361">
        <f t="shared" si="272"/>
        <v>-29399.999999999996</v>
      </c>
      <c r="P111" s="420">
        <f t="shared" ref="P111:Q111" si="331">P10*P20</f>
        <v>90</v>
      </c>
      <c r="Q111" s="421">
        <f t="shared" si="331"/>
        <v>0</v>
      </c>
      <c r="R111" s="363">
        <f t="shared" si="274"/>
        <v>-90</v>
      </c>
      <c r="S111" s="420">
        <f t="shared" ref="S111:T111" si="332">S10*S20</f>
        <v>6300</v>
      </c>
      <c r="T111" s="421">
        <f t="shared" si="332"/>
        <v>0</v>
      </c>
      <c r="U111" s="363">
        <f t="shared" si="276"/>
        <v>-6300</v>
      </c>
      <c r="V111" s="420">
        <f t="shared" ref="V111:W111" si="333">V10*V20</f>
        <v>27</v>
      </c>
      <c r="W111" s="421">
        <f t="shared" si="333"/>
        <v>0</v>
      </c>
      <c r="X111" s="363">
        <f t="shared" si="278"/>
        <v>-27</v>
      </c>
      <c r="Y111" s="420">
        <f t="shared" ref="Y111:Z111" si="334">Y10*Y20</f>
        <v>18</v>
      </c>
      <c r="Z111" s="421">
        <f t="shared" si="334"/>
        <v>0</v>
      </c>
      <c r="AA111" s="363">
        <f t="shared" si="280"/>
        <v>-18</v>
      </c>
      <c r="AB111" s="420">
        <f t="shared" ref="AB111:AC111" si="335">AB10*AB20</f>
        <v>45.57</v>
      </c>
      <c r="AC111" s="421">
        <f t="shared" si="335"/>
        <v>0</v>
      </c>
      <c r="AD111" s="363">
        <f t="shared" si="282"/>
        <v>-45.57</v>
      </c>
      <c r="AE111" s="420">
        <f t="shared" ref="AE111:AF111" si="336">AE10*AE20</f>
        <v>0</v>
      </c>
      <c r="AF111" s="421">
        <f t="shared" si="336"/>
        <v>0</v>
      </c>
      <c r="AG111" s="363">
        <f t="shared" si="284"/>
        <v>0</v>
      </c>
      <c r="AH111" s="420">
        <f t="shared" ref="AH111:AI111" si="337">AH10*AH20</f>
        <v>0</v>
      </c>
      <c r="AI111" s="421">
        <f t="shared" si="337"/>
        <v>0</v>
      </c>
      <c r="AJ111" s="363">
        <f t="shared" si="286"/>
        <v>0</v>
      </c>
      <c r="AK111" s="420">
        <f t="shared" ref="AK111:AL111" si="338">AK10*AK20</f>
        <v>0</v>
      </c>
      <c r="AL111" s="421">
        <f t="shared" si="338"/>
        <v>0</v>
      </c>
      <c r="AM111" s="363">
        <f t="shared" si="288"/>
        <v>0</v>
      </c>
      <c r="AN111" s="420">
        <f t="shared" ref="AN111:AO111" si="339">AN10*AN20</f>
        <v>0</v>
      </c>
      <c r="AO111" s="421">
        <f t="shared" si="339"/>
        <v>0</v>
      </c>
      <c r="AP111" s="363">
        <f t="shared" si="290"/>
        <v>0</v>
      </c>
      <c r="AQ111" s="420">
        <f t="shared" ref="AQ111:AR111" si="340">AQ10*AQ20</f>
        <v>0</v>
      </c>
      <c r="AR111" s="421">
        <f t="shared" si="340"/>
        <v>0</v>
      </c>
      <c r="AS111" s="363">
        <f t="shared" si="292"/>
        <v>0</v>
      </c>
      <c r="AT111" s="420">
        <f t="shared" ref="AT111:AU111" si="341">AT10*AT20</f>
        <v>0</v>
      </c>
      <c r="AU111" s="421">
        <f t="shared" si="341"/>
        <v>0</v>
      </c>
      <c r="AV111" s="363">
        <f t="shared" si="294"/>
        <v>0</v>
      </c>
      <c r="AW111" s="420">
        <f t="shared" si="295"/>
        <v>0</v>
      </c>
      <c r="AX111" s="421">
        <f t="shared" si="295"/>
        <v>0</v>
      </c>
      <c r="AY111" s="363">
        <f t="shared" si="296"/>
        <v>0</v>
      </c>
    </row>
    <row r="112" spans="1:51" ht="16">
      <c r="A112" s="806"/>
      <c r="B112" s="808"/>
      <c r="C112" s="409" t="s">
        <v>120</v>
      </c>
      <c r="D112" s="410">
        <f t="shared" si="121"/>
        <v>43143.57</v>
      </c>
      <c r="E112" s="411">
        <f t="shared" si="122"/>
        <v>0</v>
      </c>
      <c r="F112" s="412">
        <f t="shared" si="123"/>
        <v>-43143.57</v>
      </c>
      <c r="G112" s="419">
        <f t="shared" si="268"/>
        <v>7200</v>
      </c>
      <c r="H112" s="420">
        <f t="shared" si="268"/>
        <v>0</v>
      </c>
      <c r="I112" s="361">
        <f t="shared" si="297"/>
        <v>-7200</v>
      </c>
      <c r="J112" s="420">
        <f t="shared" si="269"/>
        <v>63</v>
      </c>
      <c r="K112" s="420">
        <f t="shared" si="269"/>
        <v>0</v>
      </c>
      <c r="L112" s="361">
        <f t="shared" si="270"/>
        <v>-63</v>
      </c>
      <c r="M112" s="420">
        <f t="shared" si="271"/>
        <v>29399.999999999996</v>
      </c>
      <c r="N112" s="420">
        <f t="shared" si="271"/>
        <v>0</v>
      </c>
      <c r="O112" s="361">
        <f t="shared" si="272"/>
        <v>-29399.999999999996</v>
      </c>
      <c r="P112" s="420">
        <f t="shared" ref="P112:Q112" si="342">P11*P21</f>
        <v>90</v>
      </c>
      <c r="Q112" s="421">
        <f t="shared" si="342"/>
        <v>0</v>
      </c>
      <c r="R112" s="363">
        <f t="shared" si="274"/>
        <v>-90</v>
      </c>
      <c r="S112" s="420">
        <f t="shared" ref="S112:T112" si="343">S11*S21</f>
        <v>6300</v>
      </c>
      <c r="T112" s="421">
        <f t="shared" si="343"/>
        <v>0</v>
      </c>
      <c r="U112" s="363">
        <f t="shared" si="276"/>
        <v>-6300</v>
      </c>
      <c r="V112" s="420">
        <f t="shared" ref="V112:W112" si="344">V11*V21</f>
        <v>27</v>
      </c>
      <c r="W112" s="421">
        <f t="shared" si="344"/>
        <v>0</v>
      </c>
      <c r="X112" s="363">
        <f t="shared" si="278"/>
        <v>-27</v>
      </c>
      <c r="Y112" s="420">
        <f t="shared" ref="Y112:Z112" si="345">Y11*Y21</f>
        <v>18</v>
      </c>
      <c r="Z112" s="421">
        <f t="shared" si="345"/>
        <v>0</v>
      </c>
      <c r="AA112" s="363">
        <f t="shared" si="280"/>
        <v>-18</v>
      </c>
      <c r="AB112" s="420">
        <f t="shared" ref="AB112:AC112" si="346">AB11*AB21</f>
        <v>45.57</v>
      </c>
      <c r="AC112" s="421">
        <f t="shared" si="346"/>
        <v>0</v>
      </c>
      <c r="AD112" s="363">
        <f t="shared" si="282"/>
        <v>-45.57</v>
      </c>
      <c r="AE112" s="420">
        <f t="shared" ref="AE112:AF112" si="347">AE11*AE21</f>
        <v>0</v>
      </c>
      <c r="AF112" s="421">
        <f t="shared" si="347"/>
        <v>0</v>
      </c>
      <c r="AG112" s="363">
        <f t="shared" si="284"/>
        <v>0</v>
      </c>
      <c r="AH112" s="420">
        <f t="shared" ref="AH112:AI112" si="348">AH11*AH21</f>
        <v>0</v>
      </c>
      <c r="AI112" s="421">
        <f t="shared" si="348"/>
        <v>0</v>
      </c>
      <c r="AJ112" s="363">
        <f t="shared" si="286"/>
        <v>0</v>
      </c>
      <c r="AK112" s="420">
        <f t="shared" ref="AK112:AL112" si="349">AK11*AK21</f>
        <v>0</v>
      </c>
      <c r="AL112" s="421">
        <f t="shared" si="349"/>
        <v>0</v>
      </c>
      <c r="AM112" s="363">
        <f t="shared" si="288"/>
        <v>0</v>
      </c>
      <c r="AN112" s="420">
        <f t="shared" ref="AN112:AO112" si="350">AN11*AN21</f>
        <v>0</v>
      </c>
      <c r="AO112" s="421">
        <f t="shared" si="350"/>
        <v>0</v>
      </c>
      <c r="AP112" s="363">
        <f t="shared" si="290"/>
        <v>0</v>
      </c>
      <c r="AQ112" s="420">
        <f t="shared" ref="AQ112:AR112" si="351">AQ11*AQ21</f>
        <v>0</v>
      </c>
      <c r="AR112" s="421">
        <f t="shared" si="351"/>
        <v>0</v>
      </c>
      <c r="AS112" s="363">
        <f t="shared" si="292"/>
        <v>0</v>
      </c>
      <c r="AT112" s="420">
        <f t="shared" ref="AT112:AU112" si="352">AT11*AT21</f>
        <v>0</v>
      </c>
      <c r="AU112" s="421">
        <f t="shared" si="352"/>
        <v>0</v>
      </c>
      <c r="AV112" s="363">
        <f t="shared" si="294"/>
        <v>0</v>
      </c>
      <c r="AW112" s="420">
        <f t="shared" si="295"/>
        <v>0</v>
      </c>
      <c r="AX112" s="421">
        <f t="shared" si="295"/>
        <v>0</v>
      </c>
      <c r="AY112" s="363">
        <f t="shared" si="296"/>
        <v>0</v>
      </c>
    </row>
    <row r="113" spans="1:52" ht="16">
      <c r="A113" s="806"/>
      <c r="B113" s="808"/>
      <c r="C113" s="409" t="s">
        <v>121</v>
      </c>
      <c r="D113" s="410">
        <f t="shared" si="121"/>
        <v>43143.57</v>
      </c>
      <c r="E113" s="411">
        <f t="shared" si="122"/>
        <v>0</v>
      </c>
      <c r="F113" s="412">
        <f t="shared" si="123"/>
        <v>-43143.57</v>
      </c>
      <c r="G113" s="419">
        <f t="shared" si="268"/>
        <v>7200</v>
      </c>
      <c r="H113" s="420">
        <f t="shared" si="268"/>
        <v>0</v>
      </c>
      <c r="I113" s="361">
        <f t="shared" si="297"/>
        <v>-7200</v>
      </c>
      <c r="J113" s="420">
        <f t="shared" si="269"/>
        <v>63</v>
      </c>
      <c r="K113" s="420">
        <f t="shared" si="269"/>
        <v>0</v>
      </c>
      <c r="L113" s="361">
        <f t="shared" si="270"/>
        <v>-63</v>
      </c>
      <c r="M113" s="420">
        <f t="shared" si="271"/>
        <v>29399.999999999996</v>
      </c>
      <c r="N113" s="420">
        <f t="shared" si="271"/>
        <v>0</v>
      </c>
      <c r="O113" s="361">
        <f t="shared" si="272"/>
        <v>-29399.999999999996</v>
      </c>
      <c r="P113" s="420">
        <f t="shared" ref="P113:Q113" si="353">P12*P22</f>
        <v>90</v>
      </c>
      <c r="Q113" s="421">
        <f t="shared" si="353"/>
        <v>0</v>
      </c>
      <c r="R113" s="363">
        <f t="shared" si="274"/>
        <v>-90</v>
      </c>
      <c r="S113" s="420">
        <f t="shared" ref="S113:T113" si="354">S12*S22</f>
        <v>6300</v>
      </c>
      <c r="T113" s="421">
        <f t="shared" si="354"/>
        <v>0</v>
      </c>
      <c r="U113" s="363">
        <f t="shared" si="276"/>
        <v>-6300</v>
      </c>
      <c r="V113" s="420">
        <f t="shared" ref="V113:W113" si="355">V12*V22</f>
        <v>27</v>
      </c>
      <c r="W113" s="421">
        <f t="shared" si="355"/>
        <v>0</v>
      </c>
      <c r="X113" s="363">
        <f t="shared" si="278"/>
        <v>-27</v>
      </c>
      <c r="Y113" s="420">
        <f t="shared" ref="Y113:Z113" si="356">Y12*Y22</f>
        <v>18</v>
      </c>
      <c r="Z113" s="421">
        <f t="shared" si="356"/>
        <v>0</v>
      </c>
      <c r="AA113" s="363">
        <f t="shared" si="280"/>
        <v>-18</v>
      </c>
      <c r="AB113" s="420">
        <f t="shared" ref="AB113:AC113" si="357">AB12*AB22</f>
        <v>45.57</v>
      </c>
      <c r="AC113" s="421">
        <f t="shared" si="357"/>
        <v>0</v>
      </c>
      <c r="AD113" s="363">
        <f t="shared" si="282"/>
        <v>-45.57</v>
      </c>
      <c r="AE113" s="420">
        <f t="shared" ref="AE113:AF113" si="358">AE12*AE22</f>
        <v>0</v>
      </c>
      <c r="AF113" s="421">
        <f t="shared" si="358"/>
        <v>0</v>
      </c>
      <c r="AG113" s="363">
        <f t="shared" si="284"/>
        <v>0</v>
      </c>
      <c r="AH113" s="420">
        <f t="shared" ref="AH113:AI113" si="359">AH12*AH22</f>
        <v>0</v>
      </c>
      <c r="AI113" s="421">
        <f t="shared" si="359"/>
        <v>0</v>
      </c>
      <c r="AJ113" s="363">
        <f t="shared" si="286"/>
        <v>0</v>
      </c>
      <c r="AK113" s="420">
        <f t="shared" ref="AK113:AL113" si="360">AK12*AK22</f>
        <v>0</v>
      </c>
      <c r="AL113" s="421">
        <f t="shared" si="360"/>
        <v>0</v>
      </c>
      <c r="AM113" s="363">
        <f t="shared" si="288"/>
        <v>0</v>
      </c>
      <c r="AN113" s="420">
        <f t="shared" ref="AN113:AO113" si="361">AN12*AN22</f>
        <v>0</v>
      </c>
      <c r="AO113" s="421">
        <f t="shared" si="361"/>
        <v>0</v>
      </c>
      <c r="AP113" s="363">
        <f t="shared" si="290"/>
        <v>0</v>
      </c>
      <c r="AQ113" s="420">
        <f t="shared" ref="AQ113:AR113" si="362">AQ12*AQ22</f>
        <v>0</v>
      </c>
      <c r="AR113" s="421">
        <f t="shared" si="362"/>
        <v>0</v>
      </c>
      <c r="AS113" s="363">
        <f t="shared" si="292"/>
        <v>0</v>
      </c>
      <c r="AT113" s="420">
        <f t="shared" ref="AT113:AU113" si="363">AT12*AT22</f>
        <v>0</v>
      </c>
      <c r="AU113" s="421">
        <f t="shared" si="363"/>
        <v>0</v>
      </c>
      <c r="AV113" s="363">
        <f t="shared" si="294"/>
        <v>0</v>
      </c>
      <c r="AW113" s="420">
        <f t="shared" si="295"/>
        <v>0</v>
      </c>
      <c r="AX113" s="421">
        <f t="shared" si="295"/>
        <v>0</v>
      </c>
      <c r="AY113" s="363">
        <f t="shared" si="296"/>
        <v>0</v>
      </c>
    </row>
    <row r="114" spans="1:52" ht="16">
      <c r="A114" s="806"/>
      <c r="B114" s="808"/>
      <c r="C114" s="409" t="s">
        <v>122</v>
      </c>
      <c r="D114" s="410">
        <f t="shared" si="121"/>
        <v>43143.57</v>
      </c>
      <c r="E114" s="411">
        <f t="shared" si="122"/>
        <v>0</v>
      </c>
      <c r="F114" s="412">
        <f t="shared" si="123"/>
        <v>-43143.57</v>
      </c>
      <c r="G114" s="419">
        <f t="shared" si="268"/>
        <v>7200</v>
      </c>
      <c r="H114" s="420">
        <f t="shared" si="268"/>
        <v>0</v>
      </c>
      <c r="I114" s="361">
        <f t="shared" si="297"/>
        <v>-7200</v>
      </c>
      <c r="J114" s="420">
        <f t="shared" si="269"/>
        <v>63</v>
      </c>
      <c r="K114" s="420">
        <f t="shared" si="269"/>
        <v>0</v>
      </c>
      <c r="L114" s="361">
        <f t="shared" si="270"/>
        <v>-63</v>
      </c>
      <c r="M114" s="420">
        <f t="shared" si="271"/>
        <v>29399.999999999996</v>
      </c>
      <c r="N114" s="420">
        <f t="shared" si="271"/>
        <v>0</v>
      </c>
      <c r="O114" s="361">
        <f t="shared" si="272"/>
        <v>-29399.999999999996</v>
      </c>
      <c r="P114" s="420">
        <f t="shared" ref="P114:Q114" si="364">P13*P23</f>
        <v>90</v>
      </c>
      <c r="Q114" s="421">
        <f t="shared" si="364"/>
        <v>0</v>
      </c>
      <c r="R114" s="363">
        <f t="shared" si="274"/>
        <v>-90</v>
      </c>
      <c r="S114" s="420">
        <f t="shared" ref="S114:T114" si="365">S13*S23</f>
        <v>6300</v>
      </c>
      <c r="T114" s="421">
        <f t="shared" si="365"/>
        <v>0</v>
      </c>
      <c r="U114" s="363">
        <f t="shared" si="276"/>
        <v>-6300</v>
      </c>
      <c r="V114" s="420">
        <f t="shared" ref="V114:W114" si="366">V13*V23</f>
        <v>27</v>
      </c>
      <c r="W114" s="421">
        <f t="shared" si="366"/>
        <v>0</v>
      </c>
      <c r="X114" s="363">
        <f t="shared" si="278"/>
        <v>-27</v>
      </c>
      <c r="Y114" s="420">
        <f t="shared" ref="Y114:Z114" si="367">Y13*Y23</f>
        <v>18</v>
      </c>
      <c r="Z114" s="421">
        <f t="shared" si="367"/>
        <v>0</v>
      </c>
      <c r="AA114" s="363">
        <f t="shared" si="280"/>
        <v>-18</v>
      </c>
      <c r="AB114" s="420">
        <f t="shared" ref="AB114:AC114" si="368">AB13*AB23</f>
        <v>45.57</v>
      </c>
      <c r="AC114" s="421">
        <f t="shared" si="368"/>
        <v>0</v>
      </c>
      <c r="AD114" s="363">
        <f t="shared" si="282"/>
        <v>-45.57</v>
      </c>
      <c r="AE114" s="420">
        <f t="shared" ref="AE114:AF114" si="369">AE13*AE23</f>
        <v>0</v>
      </c>
      <c r="AF114" s="421">
        <f t="shared" si="369"/>
        <v>0</v>
      </c>
      <c r="AG114" s="363">
        <f t="shared" si="284"/>
        <v>0</v>
      </c>
      <c r="AH114" s="420">
        <f t="shared" ref="AH114:AI114" si="370">AH13*AH23</f>
        <v>0</v>
      </c>
      <c r="AI114" s="421">
        <f t="shared" si="370"/>
        <v>0</v>
      </c>
      <c r="AJ114" s="363">
        <f t="shared" si="286"/>
        <v>0</v>
      </c>
      <c r="AK114" s="420">
        <f t="shared" ref="AK114:AL114" si="371">AK13*AK23</f>
        <v>0</v>
      </c>
      <c r="AL114" s="421">
        <f t="shared" si="371"/>
        <v>0</v>
      </c>
      <c r="AM114" s="363">
        <f t="shared" si="288"/>
        <v>0</v>
      </c>
      <c r="AN114" s="420">
        <f t="shared" ref="AN114:AO114" si="372">AN13*AN23</f>
        <v>0</v>
      </c>
      <c r="AO114" s="421">
        <f t="shared" si="372"/>
        <v>0</v>
      </c>
      <c r="AP114" s="363">
        <f t="shared" si="290"/>
        <v>0</v>
      </c>
      <c r="AQ114" s="420">
        <f t="shared" ref="AQ114:AR114" si="373">AQ13*AQ23</f>
        <v>0</v>
      </c>
      <c r="AR114" s="421">
        <f t="shared" si="373"/>
        <v>0</v>
      </c>
      <c r="AS114" s="363">
        <f t="shared" si="292"/>
        <v>0</v>
      </c>
      <c r="AT114" s="420">
        <f t="shared" ref="AT114:AU114" si="374">AT13*AT23</f>
        <v>0</v>
      </c>
      <c r="AU114" s="421">
        <f t="shared" si="374"/>
        <v>0</v>
      </c>
      <c r="AV114" s="363">
        <f t="shared" si="294"/>
        <v>0</v>
      </c>
      <c r="AW114" s="420">
        <f t="shared" si="295"/>
        <v>0</v>
      </c>
      <c r="AX114" s="421">
        <f t="shared" si="295"/>
        <v>0</v>
      </c>
      <c r="AY114" s="363">
        <f t="shared" si="296"/>
        <v>0</v>
      </c>
    </row>
    <row r="115" spans="1:52" ht="16">
      <c r="A115" s="806"/>
      <c r="B115" s="808"/>
      <c r="C115" s="409" t="s">
        <v>123</v>
      </c>
      <c r="D115" s="410">
        <f t="shared" si="121"/>
        <v>43143.57</v>
      </c>
      <c r="E115" s="411">
        <f t="shared" si="122"/>
        <v>0</v>
      </c>
      <c r="F115" s="412">
        <f t="shared" si="123"/>
        <v>-43143.57</v>
      </c>
      <c r="G115" s="419">
        <f t="shared" si="268"/>
        <v>7200</v>
      </c>
      <c r="H115" s="420">
        <f t="shared" si="268"/>
        <v>0</v>
      </c>
      <c r="I115" s="361">
        <f t="shared" si="297"/>
        <v>-7200</v>
      </c>
      <c r="J115" s="420">
        <f t="shared" si="269"/>
        <v>63</v>
      </c>
      <c r="K115" s="420">
        <f t="shared" si="269"/>
        <v>0</v>
      </c>
      <c r="L115" s="361">
        <f t="shared" si="270"/>
        <v>-63</v>
      </c>
      <c r="M115" s="420">
        <f t="shared" si="271"/>
        <v>29399.999999999996</v>
      </c>
      <c r="N115" s="420">
        <f t="shared" si="271"/>
        <v>0</v>
      </c>
      <c r="O115" s="361">
        <f t="shared" si="272"/>
        <v>-29399.999999999996</v>
      </c>
      <c r="P115" s="420">
        <f t="shared" ref="P115:Q115" si="375">P14*P24</f>
        <v>90</v>
      </c>
      <c r="Q115" s="421">
        <f t="shared" si="375"/>
        <v>0</v>
      </c>
      <c r="R115" s="363">
        <f t="shared" si="274"/>
        <v>-90</v>
      </c>
      <c r="S115" s="420">
        <f t="shared" ref="S115:T115" si="376">S14*S24</f>
        <v>6300</v>
      </c>
      <c r="T115" s="421">
        <f t="shared" si="376"/>
        <v>0</v>
      </c>
      <c r="U115" s="363">
        <f t="shared" si="276"/>
        <v>-6300</v>
      </c>
      <c r="V115" s="420">
        <f t="shared" ref="V115:W115" si="377">V14*V24</f>
        <v>27</v>
      </c>
      <c r="W115" s="421">
        <f t="shared" si="377"/>
        <v>0</v>
      </c>
      <c r="X115" s="363">
        <f t="shared" si="278"/>
        <v>-27</v>
      </c>
      <c r="Y115" s="420">
        <f t="shared" ref="Y115:Z115" si="378">Y14*Y24</f>
        <v>18</v>
      </c>
      <c r="Z115" s="421">
        <f t="shared" si="378"/>
        <v>0</v>
      </c>
      <c r="AA115" s="363">
        <f t="shared" si="280"/>
        <v>-18</v>
      </c>
      <c r="AB115" s="420">
        <f t="shared" ref="AB115:AC115" si="379">AB14*AB24</f>
        <v>45.57</v>
      </c>
      <c r="AC115" s="421">
        <f t="shared" si="379"/>
        <v>0</v>
      </c>
      <c r="AD115" s="363">
        <f t="shared" si="282"/>
        <v>-45.57</v>
      </c>
      <c r="AE115" s="420">
        <f t="shared" ref="AE115:AF115" si="380">AE14*AE24</f>
        <v>0</v>
      </c>
      <c r="AF115" s="421">
        <f t="shared" si="380"/>
        <v>0</v>
      </c>
      <c r="AG115" s="363">
        <f t="shared" si="284"/>
        <v>0</v>
      </c>
      <c r="AH115" s="420">
        <f t="shared" ref="AH115:AI115" si="381">AH14*AH24</f>
        <v>0</v>
      </c>
      <c r="AI115" s="421">
        <f t="shared" si="381"/>
        <v>0</v>
      </c>
      <c r="AJ115" s="363">
        <f t="shared" si="286"/>
        <v>0</v>
      </c>
      <c r="AK115" s="420">
        <f t="shared" ref="AK115:AL115" si="382">AK14*AK24</f>
        <v>0</v>
      </c>
      <c r="AL115" s="421">
        <f t="shared" si="382"/>
        <v>0</v>
      </c>
      <c r="AM115" s="363">
        <f t="shared" si="288"/>
        <v>0</v>
      </c>
      <c r="AN115" s="420">
        <f t="shared" ref="AN115:AO115" si="383">AN14*AN24</f>
        <v>0</v>
      </c>
      <c r="AO115" s="421">
        <f t="shared" si="383"/>
        <v>0</v>
      </c>
      <c r="AP115" s="363">
        <f t="shared" si="290"/>
        <v>0</v>
      </c>
      <c r="AQ115" s="420">
        <f t="shared" ref="AQ115:AR115" si="384">AQ14*AQ24</f>
        <v>0</v>
      </c>
      <c r="AR115" s="421">
        <f t="shared" si="384"/>
        <v>0</v>
      </c>
      <c r="AS115" s="363">
        <f t="shared" si="292"/>
        <v>0</v>
      </c>
      <c r="AT115" s="420">
        <f t="shared" ref="AT115:AU115" si="385">AT14*AT24</f>
        <v>0</v>
      </c>
      <c r="AU115" s="421">
        <f t="shared" si="385"/>
        <v>0</v>
      </c>
      <c r="AV115" s="363">
        <f t="shared" si="294"/>
        <v>0</v>
      </c>
      <c r="AW115" s="420">
        <f t="shared" si="295"/>
        <v>0</v>
      </c>
      <c r="AX115" s="421">
        <f t="shared" si="295"/>
        <v>0</v>
      </c>
      <c r="AY115" s="363">
        <f t="shared" si="296"/>
        <v>0</v>
      </c>
    </row>
    <row r="116" spans="1:52" ht="17" thickBot="1">
      <c r="A116" s="807"/>
      <c r="B116" s="809"/>
      <c r="C116" s="422" t="s">
        <v>124</v>
      </c>
      <c r="D116" s="423">
        <f t="shared" si="121"/>
        <v>43143.57</v>
      </c>
      <c r="E116" s="424">
        <f t="shared" si="122"/>
        <v>0</v>
      </c>
      <c r="F116" s="425">
        <f t="shared" si="123"/>
        <v>-43143.57</v>
      </c>
      <c r="G116" s="426">
        <f t="shared" si="268"/>
        <v>7200</v>
      </c>
      <c r="H116" s="427">
        <f t="shared" si="268"/>
        <v>0</v>
      </c>
      <c r="I116" s="370">
        <f t="shared" si="297"/>
        <v>-7200</v>
      </c>
      <c r="J116" s="427">
        <f t="shared" si="269"/>
        <v>63</v>
      </c>
      <c r="K116" s="427">
        <f t="shared" si="269"/>
        <v>0</v>
      </c>
      <c r="L116" s="370">
        <f t="shared" si="270"/>
        <v>-63</v>
      </c>
      <c r="M116" s="427">
        <f t="shared" si="271"/>
        <v>29399.999999999996</v>
      </c>
      <c r="N116" s="427">
        <f t="shared" si="271"/>
        <v>0</v>
      </c>
      <c r="O116" s="370">
        <f t="shared" si="272"/>
        <v>-29399.999999999996</v>
      </c>
      <c r="P116" s="427">
        <f t="shared" ref="P116:Q116" si="386">P15*P25</f>
        <v>90</v>
      </c>
      <c r="Q116" s="428">
        <f t="shared" si="386"/>
        <v>0</v>
      </c>
      <c r="R116" s="372">
        <f t="shared" si="274"/>
        <v>-90</v>
      </c>
      <c r="S116" s="427">
        <f t="shared" ref="S116:T116" si="387">S15*S25</f>
        <v>6300</v>
      </c>
      <c r="T116" s="428">
        <f t="shared" si="387"/>
        <v>0</v>
      </c>
      <c r="U116" s="372">
        <f t="shared" si="276"/>
        <v>-6300</v>
      </c>
      <c r="V116" s="427">
        <f t="shared" ref="V116:W116" si="388">V15*V25</f>
        <v>27</v>
      </c>
      <c r="W116" s="428">
        <f t="shared" si="388"/>
        <v>0</v>
      </c>
      <c r="X116" s="372">
        <f t="shared" si="278"/>
        <v>-27</v>
      </c>
      <c r="Y116" s="427">
        <f t="shared" ref="Y116:Z116" si="389">Y15*Y25</f>
        <v>18</v>
      </c>
      <c r="Z116" s="428">
        <f t="shared" si="389"/>
        <v>0</v>
      </c>
      <c r="AA116" s="372">
        <f t="shared" si="280"/>
        <v>-18</v>
      </c>
      <c r="AB116" s="427">
        <f t="shared" ref="AB116:AC116" si="390">AB15*AB25</f>
        <v>45.57</v>
      </c>
      <c r="AC116" s="428">
        <f t="shared" si="390"/>
        <v>0</v>
      </c>
      <c r="AD116" s="372">
        <f t="shared" si="282"/>
        <v>-45.57</v>
      </c>
      <c r="AE116" s="427">
        <f t="shared" ref="AE116:AF116" si="391">AE15*AE25</f>
        <v>0</v>
      </c>
      <c r="AF116" s="428">
        <f t="shared" si="391"/>
        <v>0</v>
      </c>
      <c r="AG116" s="372">
        <f t="shared" si="284"/>
        <v>0</v>
      </c>
      <c r="AH116" s="427">
        <f t="shared" ref="AH116:AI116" si="392">AH15*AH25</f>
        <v>0</v>
      </c>
      <c r="AI116" s="428">
        <f t="shared" si="392"/>
        <v>0</v>
      </c>
      <c r="AJ116" s="372">
        <f t="shared" si="286"/>
        <v>0</v>
      </c>
      <c r="AK116" s="427">
        <f t="shared" ref="AK116:AL116" si="393">AK15*AK25</f>
        <v>0</v>
      </c>
      <c r="AL116" s="428">
        <f t="shared" si="393"/>
        <v>0</v>
      </c>
      <c r="AM116" s="372">
        <f t="shared" si="288"/>
        <v>0</v>
      </c>
      <c r="AN116" s="427">
        <f t="shared" ref="AN116:AO116" si="394">AN15*AN25</f>
        <v>0</v>
      </c>
      <c r="AO116" s="428">
        <f t="shared" si="394"/>
        <v>0</v>
      </c>
      <c r="AP116" s="372">
        <f t="shared" si="290"/>
        <v>0</v>
      </c>
      <c r="AQ116" s="427">
        <f t="shared" ref="AQ116:AR116" si="395">AQ15*AQ25</f>
        <v>0</v>
      </c>
      <c r="AR116" s="428">
        <f t="shared" si="395"/>
        <v>0</v>
      </c>
      <c r="AS116" s="372">
        <f t="shared" si="292"/>
        <v>0</v>
      </c>
      <c r="AT116" s="427">
        <f t="shared" ref="AT116:AU116" si="396">AT15*AT25</f>
        <v>0</v>
      </c>
      <c r="AU116" s="428">
        <f t="shared" si="396"/>
        <v>0</v>
      </c>
      <c r="AV116" s="372">
        <f t="shared" si="294"/>
        <v>0</v>
      </c>
      <c r="AW116" s="427">
        <f t="shared" si="295"/>
        <v>0</v>
      </c>
      <c r="AX116" s="428">
        <f t="shared" si="295"/>
        <v>0</v>
      </c>
      <c r="AY116" s="372">
        <f t="shared" si="296"/>
        <v>0</v>
      </c>
    </row>
    <row r="117" spans="1:52" ht="16">
      <c r="A117" s="806" t="s">
        <v>200</v>
      </c>
      <c r="B117" s="808" t="s">
        <v>190</v>
      </c>
      <c r="C117" s="409" t="s">
        <v>115</v>
      </c>
      <c r="D117" s="410">
        <f t="shared" si="121"/>
        <v>0</v>
      </c>
      <c r="E117" s="411">
        <f t="shared" si="122"/>
        <v>0</v>
      </c>
      <c r="F117" s="412">
        <f t="shared" si="123"/>
        <v>0</v>
      </c>
      <c r="G117" s="429">
        <f t="shared" ref="G117:H126" si="397">G6*G26</f>
        <v>0</v>
      </c>
      <c r="H117" s="430">
        <f t="shared" si="397"/>
        <v>0</v>
      </c>
      <c r="I117" s="352">
        <f>H117-G117</f>
        <v>0</v>
      </c>
      <c r="J117" s="430">
        <f t="shared" ref="J117:K126" si="398">J6*J26</f>
        <v>0</v>
      </c>
      <c r="K117" s="430">
        <f t="shared" si="398"/>
        <v>0</v>
      </c>
      <c r="L117" s="352">
        <f>K117-J117</f>
        <v>0</v>
      </c>
      <c r="M117" s="430">
        <f t="shared" ref="M117:N126" si="399">M6*M26</f>
        <v>0</v>
      </c>
      <c r="N117" s="430">
        <f t="shared" si="399"/>
        <v>0</v>
      </c>
      <c r="O117" s="352">
        <f>N117-M117</f>
        <v>0</v>
      </c>
      <c r="P117" s="430">
        <f t="shared" ref="P117:Q117" si="400">P6*P26</f>
        <v>0</v>
      </c>
      <c r="Q117" s="431">
        <f t="shared" si="400"/>
        <v>0</v>
      </c>
      <c r="R117" s="432">
        <f>Q117-P117</f>
        <v>0</v>
      </c>
      <c r="S117" s="430">
        <f t="shared" ref="S117:T117" si="401">S6*S26</f>
        <v>0</v>
      </c>
      <c r="T117" s="431">
        <f t="shared" si="401"/>
        <v>0</v>
      </c>
      <c r="U117" s="432">
        <f>T117-S117</f>
        <v>0</v>
      </c>
      <c r="V117" s="430">
        <f t="shared" ref="V117:W117" si="402">V6*V26</f>
        <v>0</v>
      </c>
      <c r="W117" s="431">
        <f t="shared" si="402"/>
        <v>0</v>
      </c>
      <c r="X117" s="432">
        <f>W117-V117</f>
        <v>0</v>
      </c>
      <c r="Y117" s="430">
        <f t="shared" ref="Y117:Z117" si="403">Y6*Y26</f>
        <v>0</v>
      </c>
      <c r="Z117" s="431">
        <f t="shared" si="403"/>
        <v>0</v>
      </c>
      <c r="AA117" s="432">
        <f>Z117-Y117</f>
        <v>0</v>
      </c>
      <c r="AB117" s="430">
        <f t="shared" ref="AB117:AC117" si="404">AB6*AB26</f>
        <v>0</v>
      </c>
      <c r="AC117" s="431">
        <f t="shared" si="404"/>
        <v>0</v>
      </c>
      <c r="AD117" s="432">
        <f>AC117-AB117</f>
        <v>0</v>
      </c>
      <c r="AE117" s="430">
        <f t="shared" ref="AE117:AF117" si="405">AE6*AE26</f>
        <v>0</v>
      </c>
      <c r="AF117" s="431">
        <f t="shared" si="405"/>
        <v>0</v>
      </c>
      <c r="AG117" s="432">
        <f>AF117-AE117</f>
        <v>0</v>
      </c>
      <c r="AH117" s="430">
        <f t="shared" ref="AH117:AI117" si="406">AH6*AH26</f>
        <v>0</v>
      </c>
      <c r="AI117" s="431">
        <f t="shared" si="406"/>
        <v>0</v>
      </c>
      <c r="AJ117" s="432">
        <f>AI117-AH117</f>
        <v>0</v>
      </c>
      <c r="AK117" s="430">
        <f t="shared" ref="AK117:AL117" si="407">AK6*AK26</f>
        <v>0</v>
      </c>
      <c r="AL117" s="431">
        <f t="shared" si="407"/>
        <v>0</v>
      </c>
      <c r="AM117" s="432">
        <f>AL117-AK117</f>
        <v>0</v>
      </c>
      <c r="AN117" s="430">
        <f t="shared" ref="AN117:AO117" si="408">AN6*AN26</f>
        <v>0</v>
      </c>
      <c r="AO117" s="431">
        <f t="shared" si="408"/>
        <v>0</v>
      </c>
      <c r="AP117" s="432">
        <f>AO117-AN117</f>
        <v>0</v>
      </c>
      <c r="AQ117" s="430">
        <f t="shared" ref="AQ117:AR117" si="409">AQ6*AQ26</f>
        <v>0</v>
      </c>
      <c r="AR117" s="431">
        <f t="shared" si="409"/>
        <v>0</v>
      </c>
      <c r="AS117" s="432">
        <f>AR117-AQ117</f>
        <v>0</v>
      </c>
      <c r="AT117" s="430">
        <f t="shared" ref="AT117:AU117" si="410">AT6*AT26</f>
        <v>0</v>
      </c>
      <c r="AU117" s="431">
        <f t="shared" si="410"/>
        <v>0</v>
      </c>
      <c r="AV117" s="432">
        <f>AU117-AT117</f>
        <v>0</v>
      </c>
      <c r="AW117" s="430">
        <f t="shared" ref="AW117:AX126" si="411">AW6*AW26</f>
        <v>0</v>
      </c>
      <c r="AX117" s="431">
        <f t="shared" si="411"/>
        <v>0</v>
      </c>
      <c r="AY117" s="432">
        <f>AX117-AW117</f>
        <v>0</v>
      </c>
    </row>
    <row r="118" spans="1:52" ht="16">
      <c r="A118" s="806"/>
      <c r="B118" s="808"/>
      <c r="C118" s="409" t="s">
        <v>116</v>
      </c>
      <c r="D118" s="410">
        <f t="shared" si="121"/>
        <v>0</v>
      </c>
      <c r="E118" s="411">
        <f t="shared" si="122"/>
        <v>0</v>
      </c>
      <c r="F118" s="412">
        <f t="shared" si="123"/>
        <v>0</v>
      </c>
      <c r="G118" s="419">
        <f t="shared" si="397"/>
        <v>0</v>
      </c>
      <c r="H118" s="420">
        <f t="shared" si="397"/>
        <v>0</v>
      </c>
      <c r="I118" s="361">
        <f t="shared" ref="I118:I126" si="412">H118-G118</f>
        <v>0</v>
      </c>
      <c r="J118" s="420">
        <f t="shared" si="398"/>
        <v>0</v>
      </c>
      <c r="K118" s="420">
        <f t="shared" si="398"/>
        <v>0</v>
      </c>
      <c r="L118" s="361">
        <f t="shared" ref="L118:L126" si="413">K118-J118</f>
        <v>0</v>
      </c>
      <c r="M118" s="420">
        <f t="shared" si="399"/>
        <v>0</v>
      </c>
      <c r="N118" s="420">
        <f t="shared" si="399"/>
        <v>0</v>
      </c>
      <c r="O118" s="361">
        <f t="shared" ref="O118:O126" si="414">N118-M118</f>
        <v>0</v>
      </c>
      <c r="P118" s="420">
        <f t="shared" ref="P118:Q118" si="415">P7*P27</f>
        <v>0</v>
      </c>
      <c r="Q118" s="421">
        <f t="shared" si="415"/>
        <v>0</v>
      </c>
      <c r="R118" s="363">
        <f t="shared" ref="R118:R126" si="416">Q118-P118</f>
        <v>0</v>
      </c>
      <c r="S118" s="420">
        <f t="shared" ref="S118:T118" si="417">S7*S27</f>
        <v>0</v>
      </c>
      <c r="T118" s="421">
        <f t="shared" si="417"/>
        <v>0</v>
      </c>
      <c r="U118" s="363">
        <f t="shared" ref="U118:U126" si="418">T118-S118</f>
        <v>0</v>
      </c>
      <c r="V118" s="420">
        <f t="shared" ref="V118:W118" si="419">V7*V27</f>
        <v>0</v>
      </c>
      <c r="W118" s="421">
        <f t="shared" si="419"/>
        <v>0</v>
      </c>
      <c r="X118" s="363">
        <f t="shared" ref="X118:X126" si="420">W118-V118</f>
        <v>0</v>
      </c>
      <c r="Y118" s="420">
        <f t="shared" ref="Y118:Z118" si="421">Y7*Y27</f>
        <v>0</v>
      </c>
      <c r="Z118" s="421">
        <f t="shared" si="421"/>
        <v>0</v>
      </c>
      <c r="AA118" s="363">
        <f t="shared" ref="AA118:AA126" si="422">Z118-Y118</f>
        <v>0</v>
      </c>
      <c r="AB118" s="420">
        <f t="shared" ref="AB118:AC118" si="423">AB7*AB27</f>
        <v>0</v>
      </c>
      <c r="AC118" s="421">
        <f t="shared" si="423"/>
        <v>0</v>
      </c>
      <c r="AD118" s="363">
        <f t="shared" ref="AD118:AD126" si="424">AC118-AB118</f>
        <v>0</v>
      </c>
      <c r="AE118" s="420">
        <f t="shared" ref="AE118:AF118" si="425">AE7*AE27</f>
        <v>0</v>
      </c>
      <c r="AF118" s="421">
        <f t="shared" si="425"/>
        <v>0</v>
      </c>
      <c r="AG118" s="363">
        <f t="shared" ref="AG118:AG126" si="426">AF118-AE118</f>
        <v>0</v>
      </c>
      <c r="AH118" s="420">
        <f t="shared" ref="AH118:AI118" si="427">AH7*AH27</f>
        <v>0</v>
      </c>
      <c r="AI118" s="421">
        <f t="shared" si="427"/>
        <v>0</v>
      </c>
      <c r="AJ118" s="363">
        <f t="shared" ref="AJ118:AJ126" si="428">AI118-AH118</f>
        <v>0</v>
      </c>
      <c r="AK118" s="420">
        <f t="shared" ref="AK118:AL118" si="429">AK7*AK27</f>
        <v>0</v>
      </c>
      <c r="AL118" s="421">
        <f t="shared" si="429"/>
        <v>0</v>
      </c>
      <c r="AM118" s="363">
        <f t="shared" ref="AM118:AM126" si="430">AL118-AK118</f>
        <v>0</v>
      </c>
      <c r="AN118" s="420">
        <f t="shared" ref="AN118:AO118" si="431">AN7*AN27</f>
        <v>0</v>
      </c>
      <c r="AO118" s="421">
        <f t="shared" si="431"/>
        <v>0</v>
      </c>
      <c r="AP118" s="363">
        <f t="shared" ref="AP118:AP126" si="432">AO118-AN118</f>
        <v>0</v>
      </c>
      <c r="AQ118" s="420">
        <f t="shared" ref="AQ118:AR118" si="433">AQ7*AQ27</f>
        <v>0</v>
      </c>
      <c r="AR118" s="421">
        <f t="shared" si="433"/>
        <v>0</v>
      </c>
      <c r="AS118" s="363">
        <f t="shared" ref="AS118:AS126" si="434">AR118-AQ118</f>
        <v>0</v>
      </c>
      <c r="AT118" s="420">
        <f t="shared" ref="AT118:AU118" si="435">AT7*AT27</f>
        <v>0</v>
      </c>
      <c r="AU118" s="421">
        <f t="shared" si="435"/>
        <v>0</v>
      </c>
      <c r="AV118" s="363">
        <f t="shared" ref="AV118:AV126" si="436">AU118-AT118</f>
        <v>0</v>
      </c>
      <c r="AW118" s="420">
        <f t="shared" si="411"/>
        <v>0</v>
      </c>
      <c r="AX118" s="421">
        <f t="shared" si="411"/>
        <v>0</v>
      </c>
      <c r="AY118" s="363">
        <f t="shared" ref="AY118:AY126" si="437">AX118-AW118</f>
        <v>0</v>
      </c>
    </row>
    <row r="119" spans="1:52" ht="16">
      <c r="A119" s="806"/>
      <c r="B119" s="808"/>
      <c r="C119" s="409" t="s">
        <v>117</v>
      </c>
      <c r="D119" s="410">
        <f t="shared" si="121"/>
        <v>0</v>
      </c>
      <c r="E119" s="411">
        <f t="shared" si="122"/>
        <v>0</v>
      </c>
      <c r="F119" s="412">
        <f t="shared" si="123"/>
        <v>0</v>
      </c>
      <c r="G119" s="419">
        <f t="shared" si="397"/>
        <v>0</v>
      </c>
      <c r="H119" s="420">
        <f t="shared" si="397"/>
        <v>0</v>
      </c>
      <c r="I119" s="361">
        <f t="shared" si="412"/>
        <v>0</v>
      </c>
      <c r="J119" s="420">
        <f t="shared" si="398"/>
        <v>0</v>
      </c>
      <c r="K119" s="420">
        <f t="shared" si="398"/>
        <v>0</v>
      </c>
      <c r="L119" s="361">
        <f t="shared" si="413"/>
        <v>0</v>
      </c>
      <c r="M119" s="420">
        <f t="shared" si="399"/>
        <v>0</v>
      </c>
      <c r="N119" s="420">
        <f t="shared" si="399"/>
        <v>0</v>
      </c>
      <c r="O119" s="361">
        <f t="shared" si="414"/>
        <v>0</v>
      </c>
      <c r="P119" s="420">
        <f t="shared" ref="P119:Q119" si="438">P8*P28</f>
        <v>0</v>
      </c>
      <c r="Q119" s="421">
        <f t="shared" si="438"/>
        <v>0</v>
      </c>
      <c r="R119" s="363">
        <f t="shared" si="416"/>
        <v>0</v>
      </c>
      <c r="S119" s="420">
        <f t="shared" ref="S119:T119" si="439">S8*S28</f>
        <v>0</v>
      </c>
      <c r="T119" s="421">
        <f t="shared" si="439"/>
        <v>0</v>
      </c>
      <c r="U119" s="363">
        <f t="shared" si="418"/>
        <v>0</v>
      </c>
      <c r="V119" s="420">
        <f t="shared" ref="V119:W119" si="440">V8*V28</f>
        <v>0</v>
      </c>
      <c r="W119" s="421">
        <f t="shared" si="440"/>
        <v>0</v>
      </c>
      <c r="X119" s="363">
        <f t="shared" si="420"/>
        <v>0</v>
      </c>
      <c r="Y119" s="420">
        <f t="shared" ref="Y119:Z119" si="441">Y8*Y28</f>
        <v>0</v>
      </c>
      <c r="Z119" s="421">
        <f t="shared" si="441"/>
        <v>0</v>
      </c>
      <c r="AA119" s="363">
        <f t="shared" si="422"/>
        <v>0</v>
      </c>
      <c r="AB119" s="420">
        <f t="shared" ref="AB119:AC119" si="442">AB8*AB28</f>
        <v>0</v>
      </c>
      <c r="AC119" s="421">
        <f t="shared" si="442"/>
        <v>0</v>
      </c>
      <c r="AD119" s="363">
        <f t="shared" si="424"/>
        <v>0</v>
      </c>
      <c r="AE119" s="420">
        <f t="shared" ref="AE119:AF119" si="443">AE8*AE28</f>
        <v>0</v>
      </c>
      <c r="AF119" s="421">
        <f t="shared" si="443"/>
        <v>0</v>
      </c>
      <c r="AG119" s="363">
        <f t="shared" si="426"/>
        <v>0</v>
      </c>
      <c r="AH119" s="420">
        <f t="shared" ref="AH119:AI119" si="444">AH8*AH28</f>
        <v>0</v>
      </c>
      <c r="AI119" s="421">
        <f t="shared" si="444"/>
        <v>0</v>
      </c>
      <c r="AJ119" s="363">
        <f t="shared" si="428"/>
        <v>0</v>
      </c>
      <c r="AK119" s="420">
        <f t="shared" ref="AK119:AL119" si="445">AK8*AK28</f>
        <v>0</v>
      </c>
      <c r="AL119" s="421">
        <f t="shared" si="445"/>
        <v>0</v>
      </c>
      <c r="AM119" s="363">
        <f t="shared" si="430"/>
        <v>0</v>
      </c>
      <c r="AN119" s="420">
        <f t="shared" ref="AN119:AO119" si="446">AN8*AN28</f>
        <v>0</v>
      </c>
      <c r="AO119" s="421">
        <f t="shared" si="446"/>
        <v>0</v>
      </c>
      <c r="AP119" s="363">
        <f t="shared" si="432"/>
        <v>0</v>
      </c>
      <c r="AQ119" s="420">
        <f t="shared" ref="AQ119:AR119" si="447">AQ8*AQ28</f>
        <v>0</v>
      </c>
      <c r="AR119" s="421">
        <f t="shared" si="447"/>
        <v>0</v>
      </c>
      <c r="AS119" s="363">
        <f t="shared" si="434"/>
        <v>0</v>
      </c>
      <c r="AT119" s="420">
        <f t="shared" ref="AT119:AU119" si="448">AT8*AT28</f>
        <v>0</v>
      </c>
      <c r="AU119" s="421">
        <f t="shared" si="448"/>
        <v>0</v>
      </c>
      <c r="AV119" s="363">
        <f t="shared" si="436"/>
        <v>0</v>
      </c>
      <c r="AW119" s="420">
        <f t="shared" si="411"/>
        <v>0</v>
      </c>
      <c r="AX119" s="421">
        <f t="shared" si="411"/>
        <v>0</v>
      </c>
      <c r="AY119" s="363">
        <f t="shared" si="437"/>
        <v>0</v>
      </c>
    </row>
    <row r="120" spans="1:52" ht="16">
      <c r="A120" s="806"/>
      <c r="B120" s="808"/>
      <c r="C120" s="409" t="s">
        <v>118</v>
      </c>
      <c r="D120" s="410">
        <f t="shared" si="121"/>
        <v>0</v>
      </c>
      <c r="E120" s="411">
        <f t="shared" si="122"/>
        <v>0</v>
      </c>
      <c r="F120" s="412">
        <f t="shared" si="123"/>
        <v>0</v>
      </c>
      <c r="G120" s="419">
        <f t="shared" si="397"/>
        <v>0</v>
      </c>
      <c r="H120" s="420">
        <f t="shared" si="397"/>
        <v>0</v>
      </c>
      <c r="I120" s="361">
        <f t="shared" si="412"/>
        <v>0</v>
      </c>
      <c r="J120" s="420">
        <f t="shared" si="398"/>
        <v>0</v>
      </c>
      <c r="K120" s="420">
        <f t="shared" si="398"/>
        <v>0</v>
      </c>
      <c r="L120" s="361">
        <f t="shared" si="413"/>
        <v>0</v>
      </c>
      <c r="M120" s="420">
        <f t="shared" si="399"/>
        <v>0</v>
      </c>
      <c r="N120" s="420">
        <f t="shared" si="399"/>
        <v>0</v>
      </c>
      <c r="O120" s="361">
        <f t="shared" si="414"/>
        <v>0</v>
      </c>
      <c r="P120" s="420">
        <f t="shared" ref="P120:Q120" si="449">P9*P29</f>
        <v>0</v>
      </c>
      <c r="Q120" s="421">
        <f t="shared" si="449"/>
        <v>0</v>
      </c>
      <c r="R120" s="363">
        <f t="shared" si="416"/>
        <v>0</v>
      </c>
      <c r="S120" s="420">
        <f t="shared" ref="S120:T120" si="450">S9*S29</f>
        <v>0</v>
      </c>
      <c r="T120" s="421">
        <f t="shared" si="450"/>
        <v>0</v>
      </c>
      <c r="U120" s="363">
        <f t="shared" si="418"/>
        <v>0</v>
      </c>
      <c r="V120" s="420">
        <f t="shared" ref="V120:W120" si="451">V9*V29</f>
        <v>0</v>
      </c>
      <c r="W120" s="421">
        <f t="shared" si="451"/>
        <v>0</v>
      </c>
      <c r="X120" s="363">
        <f t="shared" si="420"/>
        <v>0</v>
      </c>
      <c r="Y120" s="420">
        <f t="shared" ref="Y120:Z120" si="452">Y9*Y29</f>
        <v>0</v>
      </c>
      <c r="Z120" s="421">
        <f t="shared" si="452"/>
        <v>0</v>
      </c>
      <c r="AA120" s="363">
        <f t="shared" si="422"/>
        <v>0</v>
      </c>
      <c r="AB120" s="420">
        <f t="shared" ref="AB120:AC120" si="453">AB9*AB29</f>
        <v>0</v>
      </c>
      <c r="AC120" s="421">
        <f t="shared" si="453"/>
        <v>0</v>
      </c>
      <c r="AD120" s="363">
        <f t="shared" si="424"/>
        <v>0</v>
      </c>
      <c r="AE120" s="420">
        <f t="shared" ref="AE120:AF120" si="454">AE9*AE29</f>
        <v>0</v>
      </c>
      <c r="AF120" s="421">
        <f t="shared" si="454"/>
        <v>0</v>
      </c>
      <c r="AG120" s="363">
        <f t="shared" si="426"/>
        <v>0</v>
      </c>
      <c r="AH120" s="420">
        <f t="shared" ref="AH120:AI120" si="455">AH9*AH29</f>
        <v>0</v>
      </c>
      <c r="AI120" s="421">
        <f t="shared" si="455"/>
        <v>0</v>
      </c>
      <c r="AJ120" s="363">
        <f t="shared" si="428"/>
        <v>0</v>
      </c>
      <c r="AK120" s="420">
        <f t="shared" ref="AK120:AL120" si="456">AK9*AK29</f>
        <v>0</v>
      </c>
      <c r="AL120" s="421">
        <f t="shared" si="456"/>
        <v>0</v>
      </c>
      <c r="AM120" s="363">
        <f t="shared" si="430"/>
        <v>0</v>
      </c>
      <c r="AN120" s="420">
        <f t="shared" ref="AN120:AO120" si="457">AN9*AN29</f>
        <v>0</v>
      </c>
      <c r="AO120" s="421">
        <f t="shared" si="457"/>
        <v>0</v>
      </c>
      <c r="AP120" s="363">
        <f t="shared" si="432"/>
        <v>0</v>
      </c>
      <c r="AQ120" s="420">
        <f t="shared" ref="AQ120:AR120" si="458">AQ9*AQ29</f>
        <v>0</v>
      </c>
      <c r="AR120" s="421">
        <f t="shared" si="458"/>
        <v>0</v>
      </c>
      <c r="AS120" s="363">
        <f t="shared" si="434"/>
        <v>0</v>
      </c>
      <c r="AT120" s="420">
        <f t="shared" ref="AT120:AU120" si="459">AT9*AT29</f>
        <v>0</v>
      </c>
      <c r="AU120" s="421">
        <f t="shared" si="459"/>
        <v>0</v>
      </c>
      <c r="AV120" s="363">
        <f t="shared" si="436"/>
        <v>0</v>
      </c>
      <c r="AW120" s="420">
        <f t="shared" si="411"/>
        <v>0</v>
      </c>
      <c r="AX120" s="421">
        <f t="shared" si="411"/>
        <v>0</v>
      </c>
      <c r="AY120" s="363">
        <f t="shared" si="437"/>
        <v>0</v>
      </c>
    </row>
    <row r="121" spans="1:52" ht="16">
      <c r="A121" s="806"/>
      <c r="B121" s="808"/>
      <c r="C121" s="409" t="s">
        <v>119</v>
      </c>
      <c r="D121" s="410">
        <f t="shared" si="121"/>
        <v>0</v>
      </c>
      <c r="E121" s="411">
        <f t="shared" si="122"/>
        <v>0</v>
      </c>
      <c r="F121" s="412">
        <f t="shared" si="123"/>
        <v>0</v>
      </c>
      <c r="G121" s="419">
        <f t="shared" si="397"/>
        <v>0</v>
      </c>
      <c r="H121" s="420">
        <f t="shared" si="397"/>
        <v>0</v>
      </c>
      <c r="I121" s="361">
        <f t="shared" si="412"/>
        <v>0</v>
      </c>
      <c r="J121" s="420">
        <f t="shared" si="398"/>
        <v>0</v>
      </c>
      <c r="K121" s="420">
        <f t="shared" si="398"/>
        <v>0</v>
      </c>
      <c r="L121" s="361">
        <f t="shared" si="413"/>
        <v>0</v>
      </c>
      <c r="M121" s="420">
        <f t="shared" si="399"/>
        <v>0</v>
      </c>
      <c r="N121" s="420">
        <f t="shared" si="399"/>
        <v>0</v>
      </c>
      <c r="O121" s="361">
        <f t="shared" si="414"/>
        <v>0</v>
      </c>
      <c r="P121" s="420">
        <f t="shared" ref="P121:Q121" si="460">P10*P30</f>
        <v>0</v>
      </c>
      <c r="Q121" s="421">
        <f t="shared" si="460"/>
        <v>0</v>
      </c>
      <c r="R121" s="363">
        <f t="shared" si="416"/>
        <v>0</v>
      </c>
      <c r="S121" s="420">
        <f t="shared" ref="S121:T121" si="461">S10*S30</f>
        <v>0</v>
      </c>
      <c r="T121" s="421">
        <f t="shared" si="461"/>
        <v>0</v>
      </c>
      <c r="U121" s="363">
        <f t="shared" si="418"/>
        <v>0</v>
      </c>
      <c r="V121" s="420">
        <f t="shared" ref="V121:W121" si="462">V10*V30</f>
        <v>0</v>
      </c>
      <c r="W121" s="421">
        <f t="shared" si="462"/>
        <v>0</v>
      </c>
      <c r="X121" s="363">
        <f t="shared" si="420"/>
        <v>0</v>
      </c>
      <c r="Y121" s="420">
        <f t="shared" ref="Y121:Z121" si="463">Y10*Y30</f>
        <v>0</v>
      </c>
      <c r="Z121" s="421">
        <f t="shared" si="463"/>
        <v>0</v>
      </c>
      <c r="AA121" s="363">
        <f t="shared" si="422"/>
        <v>0</v>
      </c>
      <c r="AB121" s="420">
        <f t="shared" ref="AB121:AC121" si="464">AB10*AB30</f>
        <v>0</v>
      </c>
      <c r="AC121" s="421">
        <f t="shared" si="464"/>
        <v>0</v>
      </c>
      <c r="AD121" s="363">
        <f t="shared" si="424"/>
        <v>0</v>
      </c>
      <c r="AE121" s="420">
        <f t="shared" ref="AE121:AF121" si="465">AE10*AE30</f>
        <v>0</v>
      </c>
      <c r="AF121" s="421">
        <f t="shared" si="465"/>
        <v>0</v>
      </c>
      <c r="AG121" s="363">
        <f t="shared" si="426"/>
        <v>0</v>
      </c>
      <c r="AH121" s="420">
        <f t="shared" ref="AH121:AI121" si="466">AH10*AH30</f>
        <v>0</v>
      </c>
      <c r="AI121" s="421">
        <f t="shared" si="466"/>
        <v>0</v>
      </c>
      <c r="AJ121" s="363">
        <f t="shared" si="428"/>
        <v>0</v>
      </c>
      <c r="AK121" s="420">
        <f t="shared" ref="AK121:AL121" si="467">AK10*AK30</f>
        <v>0</v>
      </c>
      <c r="AL121" s="421">
        <f t="shared" si="467"/>
        <v>0</v>
      </c>
      <c r="AM121" s="363">
        <f t="shared" si="430"/>
        <v>0</v>
      </c>
      <c r="AN121" s="420">
        <f t="shared" ref="AN121:AO121" si="468">AN10*AN30</f>
        <v>0</v>
      </c>
      <c r="AO121" s="421">
        <f t="shared" si="468"/>
        <v>0</v>
      </c>
      <c r="AP121" s="363">
        <f t="shared" si="432"/>
        <v>0</v>
      </c>
      <c r="AQ121" s="420">
        <f t="shared" ref="AQ121:AR121" si="469">AQ10*AQ30</f>
        <v>0</v>
      </c>
      <c r="AR121" s="421">
        <f t="shared" si="469"/>
        <v>0</v>
      </c>
      <c r="AS121" s="363">
        <f t="shared" si="434"/>
        <v>0</v>
      </c>
      <c r="AT121" s="420">
        <f t="shared" ref="AT121:AU121" si="470">AT10*AT30</f>
        <v>0</v>
      </c>
      <c r="AU121" s="421">
        <f t="shared" si="470"/>
        <v>0</v>
      </c>
      <c r="AV121" s="363">
        <f t="shared" si="436"/>
        <v>0</v>
      </c>
      <c r="AW121" s="420">
        <f t="shared" si="411"/>
        <v>0</v>
      </c>
      <c r="AX121" s="421">
        <f t="shared" si="411"/>
        <v>0</v>
      </c>
      <c r="AY121" s="363">
        <f t="shared" si="437"/>
        <v>0</v>
      </c>
    </row>
    <row r="122" spans="1:52" ht="16">
      <c r="A122" s="806"/>
      <c r="B122" s="808"/>
      <c r="C122" s="409" t="s">
        <v>120</v>
      </c>
      <c r="D122" s="410">
        <f t="shared" si="121"/>
        <v>0</v>
      </c>
      <c r="E122" s="411">
        <f t="shared" si="122"/>
        <v>0</v>
      </c>
      <c r="F122" s="412">
        <f t="shared" si="123"/>
        <v>0</v>
      </c>
      <c r="G122" s="419">
        <f t="shared" si="397"/>
        <v>0</v>
      </c>
      <c r="H122" s="420">
        <f t="shared" si="397"/>
        <v>0</v>
      </c>
      <c r="I122" s="361">
        <f t="shared" si="412"/>
        <v>0</v>
      </c>
      <c r="J122" s="420">
        <f t="shared" si="398"/>
        <v>0</v>
      </c>
      <c r="K122" s="420">
        <f t="shared" si="398"/>
        <v>0</v>
      </c>
      <c r="L122" s="361">
        <f t="shared" si="413"/>
        <v>0</v>
      </c>
      <c r="M122" s="420">
        <f t="shared" si="399"/>
        <v>0</v>
      </c>
      <c r="N122" s="420">
        <f t="shared" si="399"/>
        <v>0</v>
      </c>
      <c r="O122" s="361">
        <f t="shared" si="414"/>
        <v>0</v>
      </c>
      <c r="P122" s="420">
        <f t="shared" ref="P122:Q122" si="471">P11*P31</f>
        <v>0</v>
      </c>
      <c r="Q122" s="421">
        <f t="shared" si="471"/>
        <v>0</v>
      </c>
      <c r="R122" s="363">
        <f t="shared" si="416"/>
        <v>0</v>
      </c>
      <c r="S122" s="420">
        <f t="shared" ref="S122:T122" si="472">S11*S31</f>
        <v>0</v>
      </c>
      <c r="T122" s="421">
        <f t="shared" si="472"/>
        <v>0</v>
      </c>
      <c r="U122" s="363">
        <f t="shared" si="418"/>
        <v>0</v>
      </c>
      <c r="V122" s="420">
        <f t="shared" ref="V122:W122" si="473">V11*V31</f>
        <v>0</v>
      </c>
      <c r="W122" s="421">
        <f t="shared" si="473"/>
        <v>0</v>
      </c>
      <c r="X122" s="363">
        <f t="shared" si="420"/>
        <v>0</v>
      </c>
      <c r="Y122" s="420">
        <f t="shared" ref="Y122:Z122" si="474">Y11*Y31</f>
        <v>0</v>
      </c>
      <c r="Z122" s="421">
        <f t="shared" si="474"/>
        <v>0</v>
      </c>
      <c r="AA122" s="363">
        <f t="shared" si="422"/>
        <v>0</v>
      </c>
      <c r="AB122" s="420">
        <f t="shared" ref="AB122:AC122" si="475">AB11*AB31</f>
        <v>0</v>
      </c>
      <c r="AC122" s="421">
        <f t="shared" si="475"/>
        <v>0</v>
      </c>
      <c r="AD122" s="363">
        <f t="shared" si="424"/>
        <v>0</v>
      </c>
      <c r="AE122" s="420">
        <f t="shared" ref="AE122:AF122" si="476">AE11*AE31</f>
        <v>0</v>
      </c>
      <c r="AF122" s="421">
        <f t="shared" si="476"/>
        <v>0</v>
      </c>
      <c r="AG122" s="363">
        <f t="shared" si="426"/>
        <v>0</v>
      </c>
      <c r="AH122" s="420">
        <f t="shared" ref="AH122:AI122" si="477">AH11*AH31</f>
        <v>0</v>
      </c>
      <c r="AI122" s="421">
        <f t="shared" si="477"/>
        <v>0</v>
      </c>
      <c r="AJ122" s="363">
        <f t="shared" si="428"/>
        <v>0</v>
      </c>
      <c r="AK122" s="420">
        <f t="shared" ref="AK122:AL122" si="478">AK11*AK31</f>
        <v>0</v>
      </c>
      <c r="AL122" s="421">
        <f t="shared" si="478"/>
        <v>0</v>
      </c>
      <c r="AM122" s="363">
        <f t="shared" si="430"/>
        <v>0</v>
      </c>
      <c r="AN122" s="420">
        <f t="shared" ref="AN122:AO122" si="479">AN11*AN31</f>
        <v>0</v>
      </c>
      <c r="AO122" s="421">
        <f t="shared" si="479"/>
        <v>0</v>
      </c>
      <c r="AP122" s="363">
        <f t="shared" si="432"/>
        <v>0</v>
      </c>
      <c r="AQ122" s="420">
        <f t="shared" ref="AQ122:AR122" si="480">AQ11*AQ31</f>
        <v>0</v>
      </c>
      <c r="AR122" s="421">
        <f t="shared" si="480"/>
        <v>0</v>
      </c>
      <c r="AS122" s="363">
        <f t="shared" si="434"/>
        <v>0</v>
      </c>
      <c r="AT122" s="420">
        <f t="shared" ref="AT122:AU122" si="481">AT11*AT31</f>
        <v>0</v>
      </c>
      <c r="AU122" s="421">
        <f t="shared" si="481"/>
        <v>0</v>
      </c>
      <c r="AV122" s="363">
        <f t="shared" si="436"/>
        <v>0</v>
      </c>
      <c r="AW122" s="420">
        <f t="shared" si="411"/>
        <v>0</v>
      </c>
      <c r="AX122" s="421">
        <f t="shared" si="411"/>
        <v>0</v>
      </c>
      <c r="AY122" s="363">
        <f t="shared" si="437"/>
        <v>0</v>
      </c>
    </row>
    <row r="123" spans="1:52" ht="16">
      <c r="A123" s="806"/>
      <c r="B123" s="808"/>
      <c r="C123" s="409" t="s">
        <v>121</v>
      </c>
      <c r="D123" s="410">
        <f t="shared" si="121"/>
        <v>0</v>
      </c>
      <c r="E123" s="411">
        <f t="shared" si="122"/>
        <v>0</v>
      </c>
      <c r="F123" s="412">
        <f t="shared" si="123"/>
        <v>0</v>
      </c>
      <c r="G123" s="419">
        <f t="shared" si="397"/>
        <v>0</v>
      </c>
      <c r="H123" s="420">
        <f t="shared" si="397"/>
        <v>0</v>
      </c>
      <c r="I123" s="361">
        <f t="shared" si="412"/>
        <v>0</v>
      </c>
      <c r="J123" s="420">
        <f t="shared" si="398"/>
        <v>0</v>
      </c>
      <c r="K123" s="420">
        <f t="shared" si="398"/>
        <v>0</v>
      </c>
      <c r="L123" s="361">
        <f t="shared" si="413"/>
        <v>0</v>
      </c>
      <c r="M123" s="420">
        <f t="shared" si="399"/>
        <v>0</v>
      </c>
      <c r="N123" s="420">
        <f t="shared" si="399"/>
        <v>0</v>
      </c>
      <c r="O123" s="361">
        <f t="shared" si="414"/>
        <v>0</v>
      </c>
      <c r="P123" s="420">
        <f t="shared" ref="P123:Q123" si="482">P12*P32</f>
        <v>0</v>
      </c>
      <c r="Q123" s="421">
        <f t="shared" si="482"/>
        <v>0</v>
      </c>
      <c r="R123" s="363">
        <f t="shared" si="416"/>
        <v>0</v>
      </c>
      <c r="S123" s="420">
        <f t="shared" ref="S123:T123" si="483">S12*S32</f>
        <v>0</v>
      </c>
      <c r="T123" s="421">
        <f t="shared" si="483"/>
        <v>0</v>
      </c>
      <c r="U123" s="363">
        <f t="shared" si="418"/>
        <v>0</v>
      </c>
      <c r="V123" s="420">
        <f t="shared" ref="V123:W123" si="484">V12*V32</f>
        <v>0</v>
      </c>
      <c r="W123" s="421">
        <f t="shared" si="484"/>
        <v>0</v>
      </c>
      <c r="X123" s="363">
        <f t="shared" si="420"/>
        <v>0</v>
      </c>
      <c r="Y123" s="420">
        <f t="shared" ref="Y123:Z123" si="485">Y12*Y32</f>
        <v>0</v>
      </c>
      <c r="Z123" s="421">
        <f t="shared" si="485"/>
        <v>0</v>
      </c>
      <c r="AA123" s="363">
        <f t="shared" si="422"/>
        <v>0</v>
      </c>
      <c r="AB123" s="420">
        <f t="shared" ref="AB123:AC123" si="486">AB12*AB32</f>
        <v>0</v>
      </c>
      <c r="AC123" s="421">
        <f t="shared" si="486"/>
        <v>0</v>
      </c>
      <c r="AD123" s="363">
        <f t="shared" si="424"/>
        <v>0</v>
      </c>
      <c r="AE123" s="420">
        <f t="shared" ref="AE123:AF123" si="487">AE12*AE32</f>
        <v>0</v>
      </c>
      <c r="AF123" s="421">
        <f t="shared" si="487"/>
        <v>0</v>
      </c>
      <c r="AG123" s="363">
        <f t="shared" si="426"/>
        <v>0</v>
      </c>
      <c r="AH123" s="420">
        <f t="shared" ref="AH123:AI123" si="488">AH12*AH32</f>
        <v>0</v>
      </c>
      <c r="AI123" s="421">
        <f t="shared" si="488"/>
        <v>0</v>
      </c>
      <c r="AJ123" s="363">
        <f t="shared" si="428"/>
        <v>0</v>
      </c>
      <c r="AK123" s="420">
        <f t="shared" ref="AK123:AL123" si="489">AK12*AK32</f>
        <v>0</v>
      </c>
      <c r="AL123" s="421">
        <f t="shared" si="489"/>
        <v>0</v>
      </c>
      <c r="AM123" s="363">
        <f t="shared" si="430"/>
        <v>0</v>
      </c>
      <c r="AN123" s="420">
        <f t="shared" ref="AN123:AO123" si="490">AN12*AN32</f>
        <v>0</v>
      </c>
      <c r="AO123" s="421">
        <f t="shared" si="490"/>
        <v>0</v>
      </c>
      <c r="AP123" s="363">
        <f t="shared" si="432"/>
        <v>0</v>
      </c>
      <c r="AQ123" s="420">
        <f t="shared" ref="AQ123:AR123" si="491">AQ12*AQ32</f>
        <v>0</v>
      </c>
      <c r="AR123" s="421">
        <f t="shared" si="491"/>
        <v>0</v>
      </c>
      <c r="AS123" s="363">
        <f t="shared" si="434"/>
        <v>0</v>
      </c>
      <c r="AT123" s="420">
        <f t="shared" ref="AT123:AU123" si="492">AT12*AT32</f>
        <v>0</v>
      </c>
      <c r="AU123" s="421">
        <f t="shared" si="492"/>
        <v>0</v>
      </c>
      <c r="AV123" s="363">
        <f t="shared" si="436"/>
        <v>0</v>
      </c>
      <c r="AW123" s="420">
        <f t="shared" si="411"/>
        <v>0</v>
      </c>
      <c r="AX123" s="421">
        <f t="shared" si="411"/>
        <v>0</v>
      </c>
      <c r="AY123" s="363">
        <f t="shared" si="437"/>
        <v>0</v>
      </c>
    </row>
    <row r="124" spans="1:52" ht="16">
      <c r="A124" s="806"/>
      <c r="B124" s="808"/>
      <c r="C124" s="409" t="s">
        <v>122</v>
      </c>
      <c r="D124" s="410">
        <f t="shared" si="121"/>
        <v>0</v>
      </c>
      <c r="E124" s="411">
        <f t="shared" si="122"/>
        <v>0</v>
      </c>
      <c r="F124" s="412">
        <f t="shared" si="123"/>
        <v>0</v>
      </c>
      <c r="G124" s="419">
        <f t="shared" si="397"/>
        <v>0</v>
      </c>
      <c r="H124" s="420">
        <f t="shared" si="397"/>
        <v>0</v>
      </c>
      <c r="I124" s="361">
        <f t="shared" si="412"/>
        <v>0</v>
      </c>
      <c r="J124" s="420">
        <f t="shared" si="398"/>
        <v>0</v>
      </c>
      <c r="K124" s="420">
        <f t="shared" si="398"/>
        <v>0</v>
      </c>
      <c r="L124" s="361">
        <f t="shared" si="413"/>
        <v>0</v>
      </c>
      <c r="M124" s="420">
        <f t="shared" si="399"/>
        <v>0</v>
      </c>
      <c r="N124" s="420">
        <f t="shared" si="399"/>
        <v>0</v>
      </c>
      <c r="O124" s="361">
        <f t="shared" si="414"/>
        <v>0</v>
      </c>
      <c r="P124" s="420">
        <f t="shared" ref="P124:Q124" si="493">P13*P33</f>
        <v>0</v>
      </c>
      <c r="Q124" s="421">
        <f t="shared" si="493"/>
        <v>0</v>
      </c>
      <c r="R124" s="363">
        <f t="shared" si="416"/>
        <v>0</v>
      </c>
      <c r="S124" s="420">
        <f t="shared" ref="S124:T124" si="494">S13*S33</f>
        <v>0</v>
      </c>
      <c r="T124" s="421">
        <f t="shared" si="494"/>
        <v>0</v>
      </c>
      <c r="U124" s="363">
        <f t="shared" si="418"/>
        <v>0</v>
      </c>
      <c r="V124" s="420">
        <f t="shared" ref="V124:W124" si="495">V13*V33</f>
        <v>0</v>
      </c>
      <c r="W124" s="421">
        <f t="shared" si="495"/>
        <v>0</v>
      </c>
      <c r="X124" s="363">
        <f t="shared" si="420"/>
        <v>0</v>
      </c>
      <c r="Y124" s="420">
        <f t="shared" ref="Y124:Z124" si="496">Y13*Y33</f>
        <v>0</v>
      </c>
      <c r="Z124" s="421">
        <f t="shared" si="496"/>
        <v>0</v>
      </c>
      <c r="AA124" s="363">
        <f t="shared" si="422"/>
        <v>0</v>
      </c>
      <c r="AB124" s="420">
        <f t="shared" ref="AB124:AC124" si="497">AB13*AB33</f>
        <v>0</v>
      </c>
      <c r="AC124" s="421">
        <f t="shared" si="497"/>
        <v>0</v>
      </c>
      <c r="AD124" s="363">
        <f t="shared" si="424"/>
        <v>0</v>
      </c>
      <c r="AE124" s="420">
        <f t="shared" ref="AE124:AF124" si="498">AE13*AE33</f>
        <v>0</v>
      </c>
      <c r="AF124" s="421">
        <f t="shared" si="498"/>
        <v>0</v>
      </c>
      <c r="AG124" s="363">
        <f t="shared" si="426"/>
        <v>0</v>
      </c>
      <c r="AH124" s="420">
        <f t="shared" ref="AH124:AI124" si="499">AH13*AH33</f>
        <v>0</v>
      </c>
      <c r="AI124" s="421">
        <f t="shared" si="499"/>
        <v>0</v>
      </c>
      <c r="AJ124" s="363">
        <f t="shared" si="428"/>
        <v>0</v>
      </c>
      <c r="AK124" s="420">
        <f t="shared" ref="AK124:AL124" si="500">AK13*AK33</f>
        <v>0</v>
      </c>
      <c r="AL124" s="421">
        <f t="shared" si="500"/>
        <v>0</v>
      </c>
      <c r="AM124" s="363">
        <f t="shared" si="430"/>
        <v>0</v>
      </c>
      <c r="AN124" s="420">
        <f t="shared" ref="AN124:AO124" si="501">AN13*AN33</f>
        <v>0</v>
      </c>
      <c r="AO124" s="421">
        <f t="shared" si="501"/>
        <v>0</v>
      </c>
      <c r="AP124" s="363">
        <f t="shared" si="432"/>
        <v>0</v>
      </c>
      <c r="AQ124" s="420">
        <f t="shared" ref="AQ124:AR124" si="502">AQ13*AQ33</f>
        <v>0</v>
      </c>
      <c r="AR124" s="421">
        <f t="shared" si="502"/>
        <v>0</v>
      </c>
      <c r="AS124" s="363">
        <f t="shared" si="434"/>
        <v>0</v>
      </c>
      <c r="AT124" s="420">
        <f t="shared" ref="AT124:AU124" si="503">AT13*AT33</f>
        <v>0</v>
      </c>
      <c r="AU124" s="421">
        <f t="shared" si="503"/>
        <v>0</v>
      </c>
      <c r="AV124" s="363">
        <f t="shared" si="436"/>
        <v>0</v>
      </c>
      <c r="AW124" s="420">
        <f t="shared" si="411"/>
        <v>0</v>
      </c>
      <c r="AX124" s="421">
        <f t="shared" si="411"/>
        <v>0</v>
      </c>
      <c r="AY124" s="363">
        <f t="shared" si="437"/>
        <v>0</v>
      </c>
    </row>
    <row r="125" spans="1:52" ht="16">
      <c r="A125" s="806"/>
      <c r="B125" s="808"/>
      <c r="C125" s="409" t="s">
        <v>123</v>
      </c>
      <c r="D125" s="410">
        <f t="shared" si="121"/>
        <v>0</v>
      </c>
      <c r="E125" s="411">
        <f t="shared" si="122"/>
        <v>0</v>
      </c>
      <c r="F125" s="412">
        <f t="shared" si="123"/>
        <v>0</v>
      </c>
      <c r="G125" s="419">
        <f t="shared" si="397"/>
        <v>0</v>
      </c>
      <c r="H125" s="420">
        <f t="shared" si="397"/>
        <v>0</v>
      </c>
      <c r="I125" s="361">
        <f t="shared" si="412"/>
        <v>0</v>
      </c>
      <c r="J125" s="420">
        <f t="shared" si="398"/>
        <v>0</v>
      </c>
      <c r="K125" s="420">
        <f t="shared" si="398"/>
        <v>0</v>
      </c>
      <c r="L125" s="361">
        <f t="shared" si="413"/>
        <v>0</v>
      </c>
      <c r="M125" s="420">
        <f t="shared" si="399"/>
        <v>0</v>
      </c>
      <c r="N125" s="420">
        <f t="shared" si="399"/>
        <v>0</v>
      </c>
      <c r="O125" s="361">
        <f t="shared" si="414"/>
        <v>0</v>
      </c>
      <c r="P125" s="420">
        <f t="shared" ref="P125:Q125" si="504">P14*P34</f>
        <v>0</v>
      </c>
      <c r="Q125" s="421">
        <f t="shared" si="504"/>
        <v>0</v>
      </c>
      <c r="R125" s="363">
        <f t="shared" si="416"/>
        <v>0</v>
      </c>
      <c r="S125" s="420">
        <f t="shared" ref="S125:T125" si="505">S14*S34</f>
        <v>0</v>
      </c>
      <c r="T125" s="421">
        <f t="shared" si="505"/>
        <v>0</v>
      </c>
      <c r="U125" s="363">
        <f t="shared" si="418"/>
        <v>0</v>
      </c>
      <c r="V125" s="420">
        <f t="shared" ref="V125:W125" si="506">V14*V34</f>
        <v>0</v>
      </c>
      <c r="W125" s="421">
        <f t="shared" si="506"/>
        <v>0</v>
      </c>
      <c r="X125" s="363">
        <f t="shared" si="420"/>
        <v>0</v>
      </c>
      <c r="Y125" s="420">
        <f t="shared" ref="Y125:Z125" si="507">Y14*Y34</f>
        <v>0</v>
      </c>
      <c r="Z125" s="421">
        <f t="shared" si="507"/>
        <v>0</v>
      </c>
      <c r="AA125" s="363">
        <f t="shared" si="422"/>
        <v>0</v>
      </c>
      <c r="AB125" s="420">
        <f t="shared" ref="AB125:AC125" si="508">AB14*AB34</f>
        <v>0</v>
      </c>
      <c r="AC125" s="421">
        <f t="shared" si="508"/>
        <v>0</v>
      </c>
      <c r="AD125" s="363">
        <f t="shared" si="424"/>
        <v>0</v>
      </c>
      <c r="AE125" s="420">
        <f t="shared" ref="AE125:AF125" si="509">AE14*AE34</f>
        <v>0</v>
      </c>
      <c r="AF125" s="421">
        <f t="shared" si="509"/>
        <v>0</v>
      </c>
      <c r="AG125" s="363">
        <f t="shared" si="426"/>
        <v>0</v>
      </c>
      <c r="AH125" s="420">
        <f t="shared" ref="AH125:AI125" si="510">AH14*AH34</f>
        <v>0</v>
      </c>
      <c r="AI125" s="421">
        <f t="shared" si="510"/>
        <v>0</v>
      </c>
      <c r="AJ125" s="363">
        <f t="shared" si="428"/>
        <v>0</v>
      </c>
      <c r="AK125" s="420">
        <f t="shared" ref="AK125:AL125" si="511">AK14*AK34</f>
        <v>0</v>
      </c>
      <c r="AL125" s="421">
        <f t="shared" si="511"/>
        <v>0</v>
      </c>
      <c r="AM125" s="363">
        <f t="shared" si="430"/>
        <v>0</v>
      </c>
      <c r="AN125" s="420">
        <f t="shared" ref="AN125:AO125" si="512">AN14*AN34</f>
        <v>0</v>
      </c>
      <c r="AO125" s="421">
        <f t="shared" si="512"/>
        <v>0</v>
      </c>
      <c r="AP125" s="363">
        <f t="shared" si="432"/>
        <v>0</v>
      </c>
      <c r="AQ125" s="420">
        <f t="shared" ref="AQ125:AR125" si="513">AQ14*AQ34</f>
        <v>0</v>
      </c>
      <c r="AR125" s="421">
        <f t="shared" si="513"/>
        <v>0</v>
      </c>
      <c r="AS125" s="363">
        <f t="shared" si="434"/>
        <v>0</v>
      </c>
      <c r="AT125" s="420">
        <f t="shared" ref="AT125:AU125" si="514">AT14*AT34</f>
        <v>0</v>
      </c>
      <c r="AU125" s="421">
        <f t="shared" si="514"/>
        <v>0</v>
      </c>
      <c r="AV125" s="363">
        <f t="shared" si="436"/>
        <v>0</v>
      </c>
      <c r="AW125" s="420">
        <f t="shared" si="411"/>
        <v>0</v>
      </c>
      <c r="AX125" s="421">
        <f t="shared" si="411"/>
        <v>0</v>
      </c>
      <c r="AY125" s="363">
        <f t="shared" si="437"/>
        <v>0</v>
      </c>
    </row>
    <row r="126" spans="1:52" ht="17" thickBot="1">
      <c r="A126" s="807"/>
      <c r="B126" s="809"/>
      <c r="C126" s="422" t="s">
        <v>124</v>
      </c>
      <c r="D126" s="423">
        <f t="shared" si="121"/>
        <v>0</v>
      </c>
      <c r="E126" s="424">
        <f t="shared" si="122"/>
        <v>0</v>
      </c>
      <c r="F126" s="425">
        <f t="shared" si="123"/>
        <v>0</v>
      </c>
      <c r="G126" s="426">
        <f t="shared" si="397"/>
        <v>0</v>
      </c>
      <c r="H126" s="427">
        <f t="shared" si="397"/>
        <v>0</v>
      </c>
      <c r="I126" s="370">
        <f t="shared" si="412"/>
        <v>0</v>
      </c>
      <c r="J126" s="427">
        <f t="shared" si="398"/>
        <v>0</v>
      </c>
      <c r="K126" s="427">
        <f t="shared" si="398"/>
        <v>0</v>
      </c>
      <c r="L126" s="370">
        <f t="shared" si="413"/>
        <v>0</v>
      </c>
      <c r="M126" s="427">
        <f t="shared" si="399"/>
        <v>0</v>
      </c>
      <c r="N126" s="427">
        <f t="shared" si="399"/>
        <v>0</v>
      </c>
      <c r="O126" s="370">
        <f t="shared" si="414"/>
        <v>0</v>
      </c>
      <c r="P126" s="427">
        <f t="shared" ref="P126:Q126" si="515">P15*P35</f>
        <v>0</v>
      </c>
      <c r="Q126" s="428">
        <f t="shared" si="515"/>
        <v>0</v>
      </c>
      <c r="R126" s="372">
        <f t="shared" si="416"/>
        <v>0</v>
      </c>
      <c r="S126" s="427">
        <f t="shared" ref="S126:T126" si="516">S15*S35</f>
        <v>0</v>
      </c>
      <c r="T126" s="428">
        <f t="shared" si="516"/>
        <v>0</v>
      </c>
      <c r="U126" s="372">
        <f t="shared" si="418"/>
        <v>0</v>
      </c>
      <c r="V126" s="427">
        <f t="shared" ref="V126:W126" si="517">V15*V35</f>
        <v>0</v>
      </c>
      <c r="W126" s="428">
        <f t="shared" si="517"/>
        <v>0</v>
      </c>
      <c r="X126" s="372">
        <f t="shared" si="420"/>
        <v>0</v>
      </c>
      <c r="Y126" s="427">
        <f t="shared" ref="Y126:Z126" si="518">Y15*Y35</f>
        <v>0</v>
      </c>
      <c r="Z126" s="428">
        <f t="shared" si="518"/>
        <v>0</v>
      </c>
      <c r="AA126" s="372">
        <f t="shared" si="422"/>
        <v>0</v>
      </c>
      <c r="AB126" s="427">
        <f t="shared" ref="AB126:AC126" si="519">AB15*AB35</f>
        <v>0</v>
      </c>
      <c r="AC126" s="428">
        <f t="shared" si="519"/>
        <v>0</v>
      </c>
      <c r="AD126" s="372">
        <f t="shared" si="424"/>
        <v>0</v>
      </c>
      <c r="AE126" s="427">
        <f t="shared" ref="AE126:AF126" si="520">AE15*AE35</f>
        <v>0</v>
      </c>
      <c r="AF126" s="428">
        <f t="shared" si="520"/>
        <v>0</v>
      </c>
      <c r="AG126" s="372">
        <f t="shared" si="426"/>
        <v>0</v>
      </c>
      <c r="AH126" s="427">
        <f t="shared" ref="AH126:AI126" si="521">AH15*AH35</f>
        <v>0</v>
      </c>
      <c r="AI126" s="428">
        <f t="shared" si="521"/>
        <v>0</v>
      </c>
      <c r="AJ126" s="372">
        <f t="shared" si="428"/>
        <v>0</v>
      </c>
      <c r="AK126" s="427">
        <f t="shared" ref="AK126:AL126" si="522">AK15*AK35</f>
        <v>0</v>
      </c>
      <c r="AL126" s="428">
        <f t="shared" si="522"/>
        <v>0</v>
      </c>
      <c r="AM126" s="372">
        <f t="shared" si="430"/>
        <v>0</v>
      </c>
      <c r="AN126" s="427">
        <f t="shared" ref="AN126:AO126" si="523">AN15*AN35</f>
        <v>0</v>
      </c>
      <c r="AO126" s="428">
        <f t="shared" si="523"/>
        <v>0</v>
      </c>
      <c r="AP126" s="372">
        <f t="shared" si="432"/>
        <v>0</v>
      </c>
      <c r="AQ126" s="427">
        <f t="shared" ref="AQ126:AR126" si="524">AQ15*AQ35</f>
        <v>0</v>
      </c>
      <c r="AR126" s="428">
        <f t="shared" si="524"/>
        <v>0</v>
      </c>
      <c r="AS126" s="372">
        <f t="shared" si="434"/>
        <v>0</v>
      </c>
      <c r="AT126" s="427">
        <f t="shared" ref="AT126:AU126" si="525">AT15*AT35</f>
        <v>0</v>
      </c>
      <c r="AU126" s="428">
        <f t="shared" si="525"/>
        <v>0</v>
      </c>
      <c r="AV126" s="372">
        <f t="shared" si="436"/>
        <v>0</v>
      </c>
      <c r="AW126" s="427">
        <f t="shared" si="411"/>
        <v>0</v>
      </c>
      <c r="AX126" s="428">
        <f t="shared" si="411"/>
        <v>0</v>
      </c>
      <c r="AY126" s="372">
        <f t="shared" si="437"/>
        <v>0</v>
      </c>
    </row>
    <row r="127" spans="1:52" ht="16">
      <c r="A127" s="806" t="s">
        <v>99</v>
      </c>
      <c r="B127" s="808" t="s">
        <v>190</v>
      </c>
      <c r="C127" s="409" t="s">
        <v>115</v>
      </c>
      <c r="D127" s="410">
        <f t="shared" si="121"/>
        <v>0</v>
      </c>
      <c r="E127" s="411">
        <f t="shared" si="122"/>
        <v>0</v>
      </c>
      <c r="F127" s="412">
        <f t="shared" si="123"/>
        <v>0</v>
      </c>
      <c r="G127" s="429">
        <f>G56</f>
        <v>0</v>
      </c>
      <c r="H127" s="430">
        <f t="shared" ref="H127:H136" si="526">H56*(1+$AZ$127)</f>
        <v>0</v>
      </c>
      <c r="I127" s="352">
        <f>H127-G127</f>
        <v>0</v>
      </c>
      <c r="J127" s="430">
        <f t="shared" ref="J127:J136" si="527">J56</f>
        <v>0</v>
      </c>
      <c r="K127" s="430">
        <f t="shared" ref="K127:K136" si="528">K56*(1+$AZ$127)</f>
        <v>0</v>
      </c>
      <c r="L127" s="352">
        <f>K127-J127</f>
        <v>0</v>
      </c>
      <c r="M127" s="430">
        <f t="shared" ref="M127:M136" si="529">M56</f>
        <v>0</v>
      </c>
      <c r="N127" s="430">
        <f t="shared" ref="N127:N136" si="530">N56*(1+$AZ$127)</f>
        <v>0</v>
      </c>
      <c r="O127" s="352">
        <f>N127-M127</f>
        <v>0</v>
      </c>
      <c r="P127" s="430">
        <f t="shared" ref="P127:P136" si="531">P56</f>
        <v>0</v>
      </c>
      <c r="Q127" s="431">
        <f t="shared" ref="Q127:Q136" si="532">Q56*(1+$AZ$127)</f>
        <v>0</v>
      </c>
      <c r="R127" s="432">
        <f>Q127-P127</f>
        <v>0</v>
      </c>
      <c r="S127" s="430">
        <f t="shared" ref="S127:S136" si="533">S56</f>
        <v>0</v>
      </c>
      <c r="T127" s="431">
        <f t="shared" ref="T127:T136" si="534">T56*(1+$AZ$127)</f>
        <v>0</v>
      </c>
      <c r="U127" s="432">
        <f>T127-S127</f>
        <v>0</v>
      </c>
      <c r="V127" s="430">
        <f t="shared" ref="V127:V136" si="535">V56</f>
        <v>0</v>
      </c>
      <c r="W127" s="431">
        <f t="shared" ref="W127:W136" si="536">W56*(1+$AZ$127)</f>
        <v>0</v>
      </c>
      <c r="X127" s="432">
        <f>W127-V127</f>
        <v>0</v>
      </c>
      <c r="Y127" s="430">
        <f t="shared" ref="Y127:Y136" si="537">Y56</f>
        <v>0</v>
      </c>
      <c r="Z127" s="431">
        <f t="shared" ref="Z127:Z136" si="538">Z56*(1+$AZ$127)</f>
        <v>0</v>
      </c>
      <c r="AA127" s="432">
        <f>Z127-Y127</f>
        <v>0</v>
      </c>
      <c r="AB127" s="430">
        <f t="shared" ref="AB127:AB136" si="539">AB56</f>
        <v>0</v>
      </c>
      <c r="AC127" s="431">
        <f t="shared" ref="AC127:AC136" si="540">AC56*(1+$AZ$127)</f>
        <v>0</v>
      </c>
      <c r="AD127" s="432">
        <f>AC127-AB127</f>
        <v>0</v>
      </c>
      <c r="AE127" s="430">
        <f t="shared" ref="AE127:AE136" si="541">AE56</f>
        <v>0</v>
      </c>
      <c r="AF127" s="431">
        <f t="shared" ref="AF127:AF136" si="542">AF56*(1+$AZ$127)</f>
        <v>0</v>
      </c>
      <c r="AG127" s="432">
        <f>AF127-AE127</f>
        <v>0</v>
      </c>
      <c r="AH127" s="430">
        <f t="shared" ref="AH127:AH136" si="543">AH56</f>
        <v>0</v>
      </c>
      <c r="AI127" s="431">
        <f t="shared" ref="AI127:AI136" si="544">AI56*(1+$AZ$127)</f>
        <v>0</v>
      </c>
      <c r="AJ127" s="432">
        <f>AI127-AH127</f>
        <v>0</v>
      </c>
      <c r="AK127" s="430">
        <f t="shared" ref="AK127:AK136" si="545">AK56</f>
        <v>0</v>
      </c>
      <c r="AL127" s="431">
        <f t="shared" ref="AL127:AL136" si="546">AL56*(1+$AZ$127)</f>
        <v>0</v>
      </c>
      <c r="AM127" s="432">
        <f>AL127-AK127</f>
        <v>0</v>
      </c>
      <c r="AN127" s="430">
        <f t="shared" ref="AN127:AN136" si="547">AN56</f>
        <v>0</v>
      </c>
      <c r="AO127" s="431">
        <f t="shared" ref="AO127:AO136" si="548">AO56*(1+$AZ$127)</f>
        <v>0</v>
      </c>
      <c r="AP127" s="432">
        <f>AO127-AN127</f>
        <v>0</v>
      </c>
      <c r="AQ127" s="430">
        <f t="shared" ref="AQ127:AQ136" si="549">AQ56</f>
        <v>0</v>
      </c>
      <c r="AR127" s="431">
        <f t="shared" ref="AR127:AR136" si="550">AR56*(1+$AZ$127)</f>
        <v>0</v>
      </c>
      <c r="AS127" s="432">
        <f>AR127-AQ127</f>
        <v>0</v>
      </c>
      <c r="AT127" s="430">
        <f t="shared" ref="AT127:AT136" si="551">AT56</f>
        <v>0</v>
      </c>
      <c r="AU127" s="431">
        <f t="shared" ref="AU127:AU136" si="552">AU56*(1+$AZ$127)</f>
        <v>0</v>
      </c>
      <c r="AV127" s="432">
        <f>AU127-AT127</f>
        <v>0</v>
      </c>
      <c r="AW127" s="430">
        <f t="shared" ref="AW127:AW136" si="553">AW56</f>
        <v>0</v>
      </c>
      <c r="AX127" s="431">
        <f t="shared" ref="AX127:AX136" si="554">AX56*(1+$AZ$127)</f>
        <v>0</v>
      </c>
      <c r="AY127" s="432">
        <f>AX127-AW127</f>
        <v>0</v>
      </c>
      <c r="AZ127" s="355">
        <f>'Analyza citlivosti - AgendovéIS'!H7</f>
        <v>0</v>
      </c>
    </row>
    <row r="128" spans="1:52" ht="16">
      <c r="A128" s="806"/>
      <c r="B128" s="808"/>
      <c r="C128" s="409" t="s">
        <v>116</v>
      </c>
      <c r="D128" s="410">
        <f t="shared" si="121"/>
        <v>0</v>
      </c>
      <c r="E128" s="411">
        <f t="shared" si="122"/>
        <v>0</v>
      </c>
      <c r="F128" s="412">
        <f t="shared" si="123"/>
        <v>0</v>
      </c>
      <c r="G128" s="419">
        <f t="shared" ref="G128:G136" si="555">G57</f>
        <v>0</v>
      </c>
      <c r="H128" s="420">
        <f t="shared" si="526"/>
        <v>0</v>
      </c>
      <c r="I128" s="361">
        <f t="shared" ref="I128:I136" si="556">H128-G128</f>
        <v>0</v>
      </c>
      <c r="J128" s="420">
        <f t="shared" si="527"/>
        <v>0</v>
      </c>
      <c r="K128" s="420">
        <f t="shared" si="528"/>
        <v>0</v>
      </c>
      <c r="L128" s="361">
        <f t="shared" ref="L128:L136" si="557">K128-J128</f>
        <v>0</v>
      </c>
      <c r="M128" s="420">
        <f t="shared" si="529"/>
        <v>0</v>
      </c>
      <c r="N128" s="420">
        <f t="shared" si="530"/>
        <v>0</v>
      </c>
      <c r="O128" s="361">
        <f t="shared" ref="O128:O136" si="558">N128-M128</f>
        <v>0</v>
      </c>
      <c r="P128" s="420">
        <f t="shared" si="531"/>
        <v>0</v>
      </c>
      <c r="Q128" s="421">
        <f t="shared" si="532"/>
        <v>0</v>
      </c>
      <c r="R128" s="363">
        <f t="shared" ref="R128:R136" si="559">Q128-P128</f>
        <v>0</v>
      </c>
      <c r="S128" s="420">
        <f t="shared" si="533"/>
        <v>0</v>
      </c>
      <c r="T128" s="421">
        <f t="shared" si="534"/>
        <v>0</v>
      </c>
      <c r="U128" s="363">
        <f t="shared" ref="U128:U136" si="560">T128-S128</f>
        <v>0</v>
      </c>
      <c r="V128" s="420">
        <f t="shared" si="535"/>
        <v>0</v>
      </c>
      <c r="W128" s="421">
        <f t="shared" si="536"/>
        <v>0</v>
      </c>
      <c r="X128" s="363">
        <f t="shared" ref="X128:X136" si="561">W128-V128</f>
        <v>0</v>
      </c>
      <c r="Y128" s="420">
        <f t="shared" si="537"/>
        <v>0</v>
      </c>
      <c r="Z128" s="421">
        <f t="shared" si="538"/>
        <v>0</v>
      </c>
      <c r="AA128" s="363">
        <f t="shared" ref="AA128:AA136" si="562">Z128-Y128</f>
        <v>0</v>
      </c>
      <c r="AB128" s="420">
        <f t="shared" si="539"/>
        <v>0</v>
      </c>
      <c r="AC128" s="421">
        <f t="shared" si="540"/>
        <v>0</v>
      </c>
      <c r="AD128" s="363">
        <f t="shared" ref="AD128:AD136" si="563">AC128-AB128</f>
        <v>0</v>
      </c>
      <c r="AE128" s="420">
        <f t="shared" si="541"/>
        <v>0</v>
      </c>
      <c r="AF128" s="421">
        <f t="shared" si="542"/>
        <v>0</v>
      </c>
      <c r="AG128" s="363">
        <f t="shared" ref="AG128:AG136" si="564">AF128-AE128</f>
        <v>0</v>
      </c>
      <c r="AH128" s="420">
        <f t="shared" si="543"/>
        <v>0</v>
      </c>
      <c r="AI128" s="421">
        <f t="shared" si="544"/>
        <v>0</v>
      </c>
      <c r="AJ128" s="363">
        <f t="shared" ref="AJ128:AJ136" si="565">AI128-AH128</f>
        <v>0</v>
      </c>
      <c r="AK128" s="420">
        <f t="shared" si="545"/>
        <v>0</v>
      </c>
      <c r="AL128" s="421">
        <f t="shared" si="546"/>
        <v>0</v>
      </c>
      <c r="AM128" s="363">
        <f t="shared" ref="AM128:AM136" si="566">AL128-AK128</f>
        <v>0</v>
      </c>
      <c r="AN128" s="420">
        <f t="shared" si="547"/>
        <v>0</v>
      </c>
      <c r="AO128" s="421">
        <f t="shared" si="548"/>
        <v>0</v>
      </c>
      <c r="AP128" s="363">
        <f t="shared" ref="AP128:AP136" si="567">AO128-AN128</f>
        <v>0</v>
      </c>
      <c r="AQ128" s="420">
        <f t="shared" si="549"/>
        <v>0</v>
      </c>
      <c r="AR128" s="421">
        <f t="shared" si="550"/>
        <v>0</v>
      </c>
      <c r="AS128" s="363">
        <f t="shared" ref="AS128:AS136" si="568">AR128-AQ128</f>
        <v>0</v>
      </c>
      <c r="AT128" s="420">
        <f t="shared" si="551"/>
        <v>0</v>
      </c>
      <c r="AU128" s="421">
        <f t="shared" si="552"/>
        <v>0</v>
      </c>
      <c r="AV128" s="363">
        <f t="shared" ref="AV128:AV136" si="569">AU128-AT128</f>
        <v>0</v>
      </c>
      <c r="AW128" s="420">
        <f t="shared" si="553"/>
        <v>0</v>
      </c>
      <c r="AX128" s="421">
        <f t="shared" si="554"/>
        <v>0</v>
      </c>
      <c r="AY128" s="363">
        <f t="shared" ref="AY128:AY136" si="570">AX128-AW128</f>
        <v>0</v>
      </c>
    </row>
    <row r="129" spans="1:51" ht="16">
      <c r="A129" s="806"/>
      <c r="B129" s="808"/>
      <c r="C129" s="409" t="s">
        <v>117</v>
      </c>
      <c r="D129" s="410">
        <f t="shared" si="121"/>
        <v>0</v>
      </c>
      <c r="E129" s="411">
        <f t="shared" si="122"/>
        <v>0</v>
      </c>
      <c r="F129" s="412">
        <f t="shared" si="123"/>
        <v>0</v>
      </c>
      <c r="G129" s="419">
        <f t="shared" si="555"/>
        <v>0</v>
      </c>
      <c r="H129" s="420">
        <f t="shared" si="526"/>
        <v>0</v>
      </c>
      <c r="I129" s="361">
        <f t="shared" si="556"/>
        <v>0</v>
      </c>
      <c r="J129" s="420">
        <f t="shared" si="527"/>
        <v>0</v>
      </c>
      <c r="K129" s="420">
        <f t="shared" si="528"/>
        <v>0</v>
      </c>
      <c r="L129" s="361">
        <f t="shared" si="557"/>
        <v>0</v>
      </c>
      <c r="M129" s="420">
        <f t="shared" si="529"/>
        <v>0</v>
      </c>
      <c r="N129" s="420">
        <f t="shared" si="530"/>
        <v>0</v>
      </c>
      <c r="O129" s="361">
        <f t="shared" si="558"/>
        <v>0</v>
      </c>
      <c r="P129" s="420">
        <f t="shared" si="531"/>
        <v>0</v>
      </c>
      <c r="Q129" s="421">
        <f t="shared" si="532"/>
        <v>0</v>
      </c>
      <c r="R129" s="363">
        <f t="shared" si="559"/>
        <v>0</v>
      </c>
      <c r="S129" s="420">
        <f t="shared" si="533"/>
        <v>0</v>
      </c>
      <c r="T129" s="421">
        <f t="shared" si="534"/>
        <v>0</v>
      </c>
      <c r="U129" s="363">
        <f t="shared" si="560"/>
        <v>0</v>
      </c>
      <c r="V129" s="420">
        <f t="shared" si="535"/>
        <v>0</v>
      </c>
      <c r="W129" s="421">
        <f t="shared" si="536"/>
        <v>0</v>
      </c>
      <c r="X129" s="363">
        <f t="shared" si="561"/>
        <v>0</v>
      </c>
      <c r="Y129" s="420">
        <f t="shared" si="537"/>
        <v>0</v>
      </c>
      <c r="Z129" s="421">
        <f t="shared" si="538"/>
        <v>0</v>
      </c>
      <c r="AA129" s="363">
        <f t="shared" si="562"/>
        <v>0</v>
      </c>
      <c r="AB129" s="420">
        <f t="shared" si="539"/>
        <v>0</v>
      </c>
      <c r="AC129" s="421">
        <f t="shared" si="540"/>
        <v>0</v>
      </c>
      <c r="AD129" s="363">
        <f t="shared" si="563"/>
        <v>0</v>
      </c>
      <c r="AE129" s="420">
        <f t="shared" si="541"/>
        <v>0</v>
      </c>
      <c r="AF129" s="421">
        <f t="shared" si="542"/>
        <v>0</v>
      </c>
      <c r="AG129" s="363">
        <f t="shared" si="564"/>
        <v>0</v>
      </c>
      <c r="AH129" s="420">
        <f t="shared" si="543"/>
        <v>0</v>
      </c>
      <c r="AI129" s="421">
        <f t="shared" si="544"/>
        <v>0</v>
      </c>
      <c r="AJ129" s="363">
        <f t="shared" si="565"/>
        <v>0</v>
      </c>
      <c r="AK129" s="420">
        <f t="shared" si="545"/>
        <v>0</v>
      </c>
      <c r="AL129" s="421">
        <f t="shared" si="546"/>
        <v>0</v>
      </c>
      <c r="AM129" s="363">
        <f t="shared" si="566"/>
        <v>0</v>
      </c>
      <c r="AN129" s="420">
        <f t="shared" si="547"/>
        <v>0</v>
      </c>
      <c r="AO129" s="421">
        <f t="shared" si="548"/>
        <v>0</v>
      </c>
      <c r="AP129" s="363">
        <f t="shared" si="567"/>
        <v>0</v>
      </c>
      <c r="AQ129" s="420">
        <f t="shared" si="549"/>
        <v>0</v>
      </c>
      <c r="AR129" s="421">
        <f t="shared" si="550"/>
        <v>0</v>
      </c>
      <c r="AS129" s="363">
        <f t="shared" si="568"/>
        <v>0</v>
      </c>
      <c r="AT129" s="420">
        <f t="shared" si="551"/>
        <v>0</v>
      </c>
      <c r="AU129" s="421">
        <f t="shared" si="552"/>
        <v>0</v>
      </c>
      <c r="AV129" s="363">
        <f t="shared" si="569"/>
        <v>0</v>
      </c>
      <c r="AW129" s="420">
        <f t="shared" si="553"/>
        <v>0</v>
      </c>
      <c r="AX129" s="421">
        <f t="shared" si="554"/>
        <v>0</v>
      </c>
      <c r="AY129" s="363">
        <f t="shared" si="570"/>
        <v>0</v>
      </c>
    </row>
    <row r="130" spans="1:51" ht="16">
      <c r="A130" s="806"/>
      <c r="B130" s="808"/>
      <c r="C130" s="409" t="s">
        <v>118</v>
      </c>
      <c r="D130" s="410">
        <f t="shared" si="121"/>
        <v>0</v>
      </c>
      <c r="E130" s="411">
        <f t="shared" si="122"/>
        <v>0</v>
      </c>
      <c r="F130" s="412">
        <f t="shared" si="123"/>
        <v>0</v>
      </c>
      <c r="G130" s="419">
        <f t="shared" si="555"/>
        <v>0</v>
      </c>
      <c r="H130" s="420">
        <f t="shared" si="526"/>
        <v>0</v>
      </c>
      <c r="I130" s="361">
        <f t="shared" si="556"/>
        <v>0</v>
      </c>
      <c r="J130" s="420">
        <f t="shared" si="527"/>
        <v>0</v>
      </c>
      <c r="K130" s="420">
        <f t="shared" si="528"/>
        <v>0</v>
      </c>
      <c r="L130" s="361">
        <f t="shared" si="557"/>
        <v>0</v>
      </c>
      <c r="M130" s="420">
        <f t="shared" si="529"/>
        <v>0</v>
      </c>
      <c r="N130" s="420">
        <f t="shared" si="530"/>
        <v>0</v>
      </c>
      <c r="O130" s="361">
        <f t="shared" si="558"/>
        <v>0</v>
      </c>
      <c r="P130" s="420">
        <f t="shared" si="531"/>
        <v>0</v>
      </c>
      <c r="Q130" s="421">
        <f t="shared" si="532"/>
        <v>0</v>
      </c>
      <c r="R130" s="363">
        <f t="shared" si="559"/>
        <v>0</v>
      </c>
      <c r="S130" s="420">
        <f t="shared" si="533"/>
        <v>0</v>
      </c>
      <c r="T130" s="421">
        <f t="shared" si="534"/>
        <v>0</v>
      </c>
      <c r="U130" s="363">
        <f t="shared" si="560"/>
        <v>0</v>
      </c>
      <c r="V130" s="420">
        <f t="shared" si="535"/>
        <v>0</v>
      </c>
      <c r="W130" s="421">
        <f t="shared" si="536"/>
        <v>0</v>
      </c>
      <c r="X130" s="363">
        <f t="shared" si="561"/>
        <v>0</v>
      </c>
      <c r="Y130" s="420">
        <f t="shared" si="537"/>
        <v>0</v>
      </c>
      <c r="Z130" s="421">
        <f t="shared" si="538"/>
        <v>0</v>
      </c>
      <c r="AA130" s="363">
        <f t="shared" si="562"/>
        <v>0</v>
      </c>
      <c r="AB130" s="420">
        <f t="shared" si="539"/>
        <v>0</v>
      </c>
      <c r="AC130" s="421">
        <f t="shared" si="540"/>
        <v>0</v>
      </c>
      <c r="AD130" s="363">
        <f t="shared" si="563"/>
        <v>0</v>
      </c>
      <c r="AE130" s="420">
        <f t="shared" si="541"/>
        <v>0</v>
      </c>
      <c r="AF130" s="421">
        <f t="shared" si="542"/>
        <v>0</v>
      </c>
      <c r="AG130" s="363">
        <f t="shared" si="564"/>
        <v>0</v>
      </c>
      <c r="AH130" s="420">
        <f t="shared" si="543"/>
        <v>0</v>
      </c>
      <c r="AI130" s="421">
        <f t="shared" si="544"/>
        <v>0</v>
      </c>
      <c r="AJ130" s="363">
        <f t="shared" si="565"/>
        <v>0</v>
      </c>
      <c r="AK130" s="420">
        <f t="shared" si="545"/>
        <v>0</v>
      </c>
      <c r="AL130" s="421">
        <f t="shared" si="546"/>
        <v>0</v>
      </c>
      <c r="AM130" s="363">
        <f t="shared" si="566"/>
        <v>0</v>
      </c>
      <c r="AN130" s="420">
        <f t="shared" si="547"/>
        <v>0</v>
      </c>
      <c r="AO130" s="421">
        <f t="shared" si="548"/>
        <v>0</v>
      </c>
      <c r="AP130" s="363">
        <f t="shared" si="567"/>
        <v>0</v>
      </c>
      <c r="AQ130" s="420">
        <f t="shared" si="549"/>
        <v>0</v>
      </c>
      <c r="AR130" s="421">
        <f t="shared" si="550"/>
        <v>0</v>
      </c>
      <c r="AS130" s="363">
        <f t="shared" si="568"/>
        <v>0</v>
      </c>
      <c r="AT130" s="420">
        <f t="shared" si="551"/>
        <v>0</v>
      </c>
      <c r="AU130" s="421">
        <f t="shared" si="552"/>
        <v>0</v>
      </c>
      <c r="AV130" s="363">
        <f t="shared" si="569"/>
        <v>0</v>
      </c>
      <c r="AW130" s="420">
        <f t="shared" si="553"/>
        <v>0</v>
      </c>
      <c r="AX130" s="421">
        <f t="shared" si="554"/>
        <v>0</v>
      </c>
      <c r="AY130" s="363">
        <f t="shared" si="570"/>
        <v>0</v>
      </c>
    </row>
    <row r="131" spans="1:51" ht="16">
      <c r="A131" s="806"/>
      <c r="B131" s="808"/>
      <c r="C131" s="409" t="s">
        <v>119</v>
      </c>
      <c r="D131" s="410">
        <f t="shared" si="121"/>
        <v>0</v>
      </c>
      <c r="E131" s="411">
        <f t="shared" si="122"/>
        <v>0</v>
      </c>
      <c r="F131" s="412">
        <f t="shared" si="123"/>
        <v>0</v>
      </c>
      <c r="G131" s="419">
        <f t="shared" si="555"/>
        <v>0</v>
      </c>
      <c r="H131" s="420">
        <f t="shared" si="526"/>
        <v>0</v>
      </c>
      <c r="I131" s="361">
        <f t="shared" si="556"/>
        <v>0</v>
      </c>
      <c r="J131" s="420">
        <f t="shared" si="527"/>
        <v>0</v>
      </c>
      <c r="K131" s="420">
        <f t="shared" si="528"/>
        <v>0</v>
      </c>
      <c r="L131" s="361">
        <f t="shared" si="557"/>
        <v>0</v>
      </c>
      <c r="M131" s="420">
        <f t="shared" si="529"/>
        <v>0</v>
      </c>
      <c r="N131" s="420">
        <f t="shared" si="530"/>
        <v>0</v>
      </c>
      <c r="O131" s="361">
        <f t="shared" si="558"/>
        <v>0</v>
      </c>
      <c r="P131" s="420">
        <f t="shared" si="531"/>
        <v>0</v>
      </c>
      <c r="Q131" s="421">
        <f t="shared" si="532"/>
        <v>0</v>
      </c>
      <c r="R131" s="363">
        <f t="shared" si="559"/>
        <v>0</v>
      </c>
      <c r="S131" s="420">
        <f t="shared" si="533"/>
        <v>0</v>
      </c>
      <c r="T131" s="421">
        <f t="shared" si="534"/>
        <v>0</v>
      </c>
      <c r="U131" s="363">
        <f t="shared" si="560"/>
        <v>0</v>
      </c>
      <c r="V131" s="420">
        <f t="shared" si="535"/>
        <v>0</v>
      </c>
      <c r="W131" s="421">
        <f t="shared" si="536"/>
        <v>0</v>
      </c>
      <c r="X131" s="363">
        <f t="shared" si="561"/>
        <v>0</v>
      </c>
      <c r="Y131" s="420">
        <f t="shared" si="537"/>
        <v>0</v>
      </c>
      <c r="Z131" s="421">
        <f t="shared" si="538"/>
        <v>0</v>
      </c>
      <c r="AA131" s="363">
        <f t="shared" si="562"/>
        <v>0</v>
      </c>
      <c r="AB131" s="420">
        <f t="shared" si="539"/>
        <v>0</v>
      </c>
      <c r="AC131" s="421">
        <f t="shared" si="540"/>
        <v>0</v>
      </c>
      <c r="AD131" s="363">
        <f t="shared" si="563"/>
        <v>0</v>
      </c>
      <c r="AE131" s="420">
        <f t="shared" si="541"/>
        <v>0</v>
      </c>
      <c r="AF131" s="421">
        <f t="shared" si="542"/>
        <v>0</v>
      </c>
      <c r="AG131" s="363">
        <f t="shared" si="564"/>
        <v>0</v>
      </c>
      <c r="AH131" s="420">
        <f t="shared" si="543"/>
        <v>0</v>
      </c>
      <c r="AI131" s="421">
        <f t="shared" si="544"/>
        <v>0</v>
      </c>
      <c r="AJ131" s="363">
        <f t="shared" si="565"/>
        <v>0</v>
      </c>
      <c r="AK131" s="420">
        <f t="shared" si="545"/>
        <v>0</v>
      </c>
      <c r="AL131" s="421">
        <f t="shared" si="546"/>
        <v>0</v>
      </c>
      <c r="AM131" s="363">
        <f t="shared" si="566"/>
        <v>0</v>
      </c>
      <c r="AN131" s="420">
        <f t="shared" si="547"/>
        <v>0</v>
      </c>
      <c r="AO131" s="421">
        <f t="shared" si="548"/>
        <v>0</v>
      </c>
      <c r="AP131" s="363">
        <f t="shared" si="567"/>
        <v>0</v>
      </c>
      <c r="AQ131" s="420">
        <f t="shared" si="549"/>
        <v>0</v>
      </c>
      <c r="AR131" s="421">
        <f t="shared" si="550"/>
        <v>0</v>
      </c>
      <c r="AS131" s="363">
        <f t="shared" si="568"/>
        <v>0</v>
      </c>
      <c r="AT131" s="420">
        <f t="shared" si="551"/>
        <v>0</v>
      </c>
      <c r="AU131" s="421">
        <f t="shared" si="552"/>
        <v>0</v>
      </c>
      <c r="AV131" s="363">
        <f t="shared" si="569"/>
        <v>0</v>
      </c>
      <c r="AW131" s="420">
        <f t="shared" si="553"/>
        <v>0</v>
      </c>
      <c r="AX131" s="421">
        <f t="shared" si="554"/>
        <v>0</v>
      </c>
      <c r="AY131" s="363">
        <f t="shared" si="570"/>
        <v>0</v>
      </c>
    </row>
    <row r="132" spans="1:51" ht="16">
      <c r="A132" s="806"/>
      <c r="B132" s="808"/>
      <c r="C132" s="409" t="s">
        <v>120</v>
      </c>
      <c r="D132" s="410">
        <f t="shared" si="121"/>
        <v>0</v>
      </c>
      <c r="E132" s="411">
        <f t="shared" si="122"/>
        <v>0</v>
      </c>
      <c r="F132" s="412">
        <f t="shared" si="123"/>
        <v>0</v>
      </c>
      <c r="G132" s="419">
        <f t="shared" si="555"/>
        <v>0</v>
      </c>
      <c r="H132" s="420">
        <f t="shared" si="526"/>
        <v>0</v>
      </c>
      <c r="I132" s="361">
        <f t="shared" si="556"/>
        <v>0</v>
      </c>
      <c r="J132" s="420">
        <f t="shared" si="527"/>
        <v>0</v>
      </c>
      <c r="K132" s="420">
        <f t="shared" si="528"/>
        <v>0</v>
      </c>
      <c r="L132" s="361">
        <f t="shared" si="557"/>
        <v>0</v>
      </c>
      <c r="M132" s="420">
        <f t="shared" si="529"/>
        <v>0</v>
      </c>
      <c r="N132" s="420">
        <f t="shared" si="530"/>
        <v>0</v>
      </c>
      <c r="O132" s="361">
        <f t="shared" si="558"/>
        <v>0</v>
      </c>
      <c r="P132" s="420">
        <f t="shared" si="531"/>
        <v>0</v>
      </c>
      <c r="Q132" s="421">
        <f t="shared" si="532"/>
        <v>0</v>
      </c>
      <c r="R132" s="363">
        <f t="shared" si="559"/>
        <v>0</v>
      </c>
      <c r="S132" s="420">
        <f t="shared" si="533"/>
        <v>0</v>
      </c>
      <c r="T132" s="421">
        <f t="shared" si="534"/>
        <v>0</v>
      </c>
      <c r="U132" s="363">
        <f t="shared" si="560"/>
        <v>0</v>
      </c>
      <c r="V132" s="420">
        <f t="shared" si="535"/>
        <v>0</v>
      </c>
      <c r="W132" s="421">
        <f t="shared" si="536"/>
        <v>0</v>
      </c>
      <c r="X132" s="363">
        <f t="shared" si="561"/>
        <v>0</v>
      </c>
      <c r="Y132" s="420">
        <f t="shared" si="537"/>
        <v>0</v>
      </c>
      <c r="Z132" s="421">
        <f t="shared" si="538"/>
        <v>0</v>
      </c>
      <c r="AA132" s="363">
        <f t="shared" si="562"/>
        <v>0</v>
      </c>
      <c r="AB132" s="420">
        <f t="shared" si="539"/>
        <v>0</v>
      </c>
      <c r="AC132" s="421">
        <f t="shared" si="540"/>
        <v>0</v>
      </c>
      <c r="AD132" s="363">
        <f t="shared" si="563"/>
        <v>0</v>
      </c>
      <c r="AE132" s="420">
        <f t="shared" si="541"/>
        <v>0</v>
      </c>
      <c r="AF132" s="421">
        <f t="shared" si="542"/>
        <v>0</v>
      </c>
      <c r="AG132" s="363">
        <f t="shared" si="564"/>
        <v>0</v>
      </c>
      <c r="AH132" s="420">
        <f t="shared" si="543"/>
        <v>0</v>
      </c>
      <c r="AI132" s="421">
        <f t="shared" si="544"/>
        <v>0</v>
      </c>
      <c r="AJ132" s="363">
        <f t="shared" si="565"/>
        <v>0</v>
      </c>
      <c r="AK132" s="420">
        <f t="shared" si="545"/>
        <v>0</v>
      </c>
      <c r="AL132" s="421">
        <f t="shared" si="546"/>
        <v>0</v>
      </c>
      <c r="AM132" s="363">
        <f t="shared" si="566"/>
        <v>0</v>
      </c>
      <c r="AN132" s="420">
        <f t="shared" si="547"/>
        <v>0</v>
      </c>
      <c r="AO132" s="421">
        <f t="shared" si="548"/>
        <v>0</v>
      </c>
      <c r="AP132" s="363">
        <f t="shared" si="567"/>
        <v>0</v>
      </c>
      <c r="AQ132" s="420">
        <f t="shared" si="549"/>
        <v>0</v>
      </c>
      <c r="AR132" s="421">
        <f t="shared" si="550"/>
        <v>0</v>
      </c>
      <c r="AS132" s="363">
        <f t="shared" si="568"/>
        <v>0</v>
      </c>
      <c r="AT132" s="420">
        <f t="shared" si="551"/>
        <v>0</v>
      </c>
      <c r="AU132" s="421">
        <f t="shared" si="552"/>
        <v>0</v>
      </c>
      <c r="AV132" s="363">
        <f t="shared" si="569"/>
        <v>0</v>
      </c>
      <c r="AW132" s="420">
        <f t="shared" si="553"/>
        <v>0</v>
      </c>
      <c r="AX132" s="421">
        <f t="shared" si="554"/>
        <v>0</v>
      </c>
      <c r="AY132" s="363">
        <f t="shared" si="570"/>
        <v>0</v>
      </c>
    </row>
    <row r="133" spans="1:51" ht="16">
      <c r="A133" s="806"/>
      <c r="B133" s="808"/>
      <c r="C133" s="409" t="s">
        <v>121</v>
      </c>
      <c r="D133" s="410">
        <f t="shared" si="121"/>
        <v>0</v>
      </c>
      <c r="E133" s="411">
        <f t="shared" si="122"/>
        <v>0</v>
      </c>
      <c r="F133" s="412">
        <f t="shared" si="123"/>
        <v>0</v>
      </c>
      <c r="G133" s="419">
        <f t="shared" si="555"/>
        <v>0</v>
      </c>
      <c r="H133" s="420">
        <f t="shared" si="526"/>
        <v>0</v>
      </c>
      <c r="I133" s="361">
        <f t="shared" si="556"/>
        <v>0</v>
      </c>
      <c r="J133" s="420">
        <f t="shared" si="527"/>
        <v>0</v>
      </c>
      <c r="K133" s="420">
        <f t="shared" si="528"/>
        <v>0</v>
      </c>
      <c r="L133" s="361">
        <f t="shared" si="557"/>
        <v>0</v>
      </c>
      <c r="M133" s="420">
        <f t="shared" si="529"/>
        <v>0</v>
      </c>
      <c r="N133" s="420">
        <f t="shared" si="530"/>
        <v>0</v>
      </c>
      <c r="O133" s="361">
        <f t="shared" si="558"/>
        <v>0</v>
      </c>
      <c r="P133" s="420">
        <f t="shared" si="531"/>
        <v>0</v>
      </c>
      <c r="Q133" s="421">
        <f t="shared" si="532"/>
        <v>0</v>
      </c>
      <c r="R133" s="363">
        <f t="shared" si="559"/>
        <v>0</v>
      </c>
      <c r="S133" s="420">
        <f t="shared" si="533"/>
        <v>0</v>
      </c>
      <c r="T133" s="421">
        <f t="shared" si="534"/>
        <v>0</v>
      </c>
      <c r="U133" s="363">
        <f t="shared" si="560"/>
        <v>0</v>
      </c>
      <c r="V133" s="420">
        <f t="shared" si="535"/>
        <v>0</v>
      </c>
      <c r="W133" s="421">
        <f t="shared" si="536"/>
        <v>0</v>
      </c>
      <c r="X133" s="363">
        <f t="shared" si="561"/>
        <v>0</v>
      </c>
      <c r="Y133" s="420">
        <f t="shared" si="537"/>
        <v>0</v>
      </c>
      <c r="Z133" s="421">
        <f t="shared" si="538"/>
        <v>0</v>
      </c>
      <c r="AA133" s="363">
        <f t="shared" si="562"/>
        <v>0</v>
      </c>
      <c r="AB133" s="420">
        <f t="shared" si="539"/>
        <v>0</v>
      </c>
      <c r="AC133" s="421">
        <f t="shared" si="540"/>
        <v>0</v>
      </c>
      <c r="AD133" s="363">
        <f t="shared" si="563"/>
        <v>0</v>
      </c>
      <c r="AE133" s="420">
        <f t="shared" si="541"/>
        <v>0</v>
      </c>
      <c r="AF133" s="421">
        <f t="shared" si="542"/>
        <v>0</v>
      </c>
      <c r="AG133" s="363">
        <f t="shared" si="564"/>
        <v>0</v>
      </c>
      <c r="AH133" s="420">
        <f t="shared" si="543"/>
        <v>0</v>
      </c>
      <c r="AI133" s="421">
        <f t="shared" si="544"/>
        <v>0</v>
      </c>
      <c r="AJ133" s="363">
        <f t="shared" si="565"/>
        <v>0</v>
      </c>
      <c r="AK133" s="420">
        <f t="shared" si="545"/>
        <v>0</v>
      </c>
      <c r="AL133" s="421">
        <f t="shared" si="546"/>
        <v>0</v>
      </c>
      <c r="AM133" s="363">
        <f t="shared" si="566"/>
        <v>0</v>
      </c>
      <c r="AN133" s="420">
        <f t="shared" si="547"/>
        <v>0</v>
      </c>
      <c r="AO133" s="421">
        <f t="shared" si="548"/>
        <v>0</v>
      </c>
      <c r="AP133" s="363">
        <f t="shared" si="567"/>
        <v>0</v>
      </c>
      <c r="AQ133" s="420">
        <f t="shared" si="549"/>
        <v>0</v>
      </c>
      <c r="AR133" s="421">
        <f t="shared" si="550"/>
        <v>0</v>
      </c>
      <c r="AS133" s="363">
        <f t="shared" si="568"/>
        <v>0</v>
      </c>
      <c r="AT133" s="420">
        <f t="shared" si="551"/>
        <v>0</v>
      </c>
      <c r="AU133" s="421">
        <f t="shared" si="552"/>
        <v>0</v>
      </c>
      <c r="AV133" s="363">
        <f t="shared" si="569"/>
        <v>0</v>
      </c>
      <c r="AW133" s="420">
        <f t="shared" si="553"/>
        <v>0</v>
      </c>
      <c r="AX133" s="421">
        <f t="shared" si="554"/>
        <v>0</v>
      </c>
      <c r="AY133" s="363">
        <f t="shared" si="570"/>
        <v>0</v>
      </c>
    </row>
    <row r="134" spans="1:51" ht="16">
      <c r="A134" s="806"/>
      <c r="B134" s="808"/>
      <c r="C134" s="409" t="s">
        <v>122</v>
      </c>
      <c r="D134" s="410">
        <f t="shared" si="121"/>
        <v>0</v>
      </c>
      <c r="E134" s="411">
        <f t="shared" si="122"/>
        <v>0</v>
      </c>
      <c r="F134" s="412">
        <f t="shared" si="123"/>
        <v>0</v>
      </c>
      <c r="G134" s="419">
        <f t="shared" si="555"/>
        <v>0</v>
      </c>
      <c r="H134" s="420">
        <f t="shared" si="526"/>
        <v>0</v>
      </c>
      <c r="I134" s="361">
        <f t="shared" si="556"/>
        <v>0</v>
      </c>
      <c r="J134" s="420">
        <f t="shared" si="527"/>
        <v>0</v>
      </c>
      <c r="K134" s="420">
        <f t="shared" si="528"/>
        <v>0</v>
      </c>
      <c r="L134" s="361">
        <f t="shared" si="557"/>
        <v>0</v>
      </c>
      <c r="M134" s="420">
        <f t="shared" si="529"/>
        <v>0</v>
      </c>
      <c r="N134" s="420">
        <f t="shared" si="530"/>
        <v>0</v>
      </c>
      <c r="O134" s="361">
        <f t="shared" si="558"/>
        <v>0</v>
      </c>
      <c r="P134" s="420">
        <f t="shared" si="531"/>
        <v>0</v>
      </c>
      <c r="Q134" s="421">
        <f t="shared" si="532"/>
        <v>0</v>
      </c>
      <c r="R134" s="363">
        <f t="shared" si="559"/>
        <v>0</v>
      </c>
      <c r="S134" s="420">
        <f t="shared" si="533"/>
        <v>0</v>
      </c>
      <c r="T134" s="421">
        <f t="shared" si="534"/>
        <v>0</v>
      </c>
      <c r="U134" s="363">
        <f t="shared" si="560"/>
        <v>0</v>
      </c>
      <c r="V134" s="420">
        <f t="shared" si="535"/>
        <v>0</v>
      </c>
      <c r="W134" s="421">
        <f t="shared" si="536"/>
        <v>0</v>
      </c>
      <c r="X134" s="363">
        <f t="shared" si="561"/>
        <v>0</v>
      </c>
      <c r="Y134" s="420">
        <f t="shared" si="537"/>
        <v>0</v>
      </c>
      <c r="Z134" s="421">
        <f t="shared" si="538"/>
        <v>0</v>
      </c>
      <c r="AA134" s="363">
        <f t="shared" si="562"/>
        <v>0</v>
      </c>
      <c r="AB134" s="420">
        <f t="shared" si="539"/>
        <v>0</v>
      </c>
      <c r="AC134" s="421">
        <f t="shared" si="540"/>
        <v>0</v>
      </c>
      <c r="AD134" s="363">
        <f t="shared" si="563"/>
        <v>0</v>
      </c>
      <c r="AE134" s="420">
        <f t="shared" si="541"/>
        <v>0</v>
      </c>
      <c r="AF134" s="421">
        <f t="shared" si="542"/>
        <v>0</v>
      </c>
      <c r="AG134" s="363">
        <f t="shared" si="564"/>
        <v>0</v>
      </c>
      <c r="AH134" s="420">
        <f t="shared" si="543"/>
        <v>0</v>
      </c>
      <c r="AI134" s="421">
        <f t="shared" si="544"/>
        <v>0</v>
      </c>
      <c r="AJ134" s="363">
        <f t="shared" si="565"/>
        <v>0</v>
      </c>
      <c r="AK134" s="420">
        <f t="shared" si="545"/>
        <v>0</v>
      </c>
      <c r="AL134" s="421">
        <f t="shared" si="546"/>
        <v>0</v>
      </c>
      <c r="AM134" s="363">
        <f t="shared" si="566"/>
        <v>0</v>
      </c>
      <c r="AN134" s="420">
        <f t="shared" si="547"/>
        <v>0</v>
      </c>
      <c r="AO134" s="421">
        <f t="shared" si="548"/>
        <v>0</v>
      </c>
      <c r="AP134" s="363">
        <f t="shared" si="567"/>
        <v>0</v>
      </c>
      <c r="AQ134" s="420">
        <f t="shared" si="549"/>
        <v>0</v>
      </c>
      <c r="AR134" s="421">
        <f t="shared" si="550"/>
        <v>0</v>
      </c>
      <c r="AS134" s="363">
        <f t="shared" si="568"/>
        <v>0</v>
      </c>
      <c r="AT134" s="420">
        <f t="shared" si="551"/>
        <v>0</v>
      </c>
      <c r="AU134" s="421">
        <f t="shared" si="552"/>
        <v>0</v>
      </c>
      <c r="AV134" s="363">
        <f t="shared" si="569"/>
        <v>0</v>
      </c>
      <c r="AW134" s="420">
        <f t="shared" si="553"/>
        <v>0</v>
      </c>
      <c r="AX134" s="421">
        <f t="shared" si="554"/>
        <v>0</v>
      </c>
      <c r="AY134" s="363">
        <f t="shared" si="570"/>
        <v>0</v>
      </c>
    </row>
    <row r="135" spans="1:51" ht="16">
      <c r="A135" s="806"/>
      <c r="B135" s="808"/>
      <c r="C135" s="409" t="s">
        <v>123</v>
      </c>
      <c r="D135" s="410">
        <f t="shared" ref="D135:D136" si="571">G135+J135+M135+AE135+P135+S135+V135+Y135+AB135+AH135+AK135+AN135+AQ135+AT135+AW135</f>
        <v>0</v>
      </c>
      <c r="E135" s="411">
        <f t="shared" ref="E135:E136" si="572">H135+K135+N135+AF135+Q135+T135+W135+Z135+AC135+AI135+AL135+AO135+AR135+AU135+AX135</f>
        <v>0</v>
      </c>
      <c r="F135" s="412">
        <f t="shared" ref="F135:F136" si="573">I135+L135+O135+AG135+R135+U135+AA135+X135+AD135+AJ135+AM135+AP135+AS135+AV135+AY135</f>
        <v>0</v>
      </c>
      <c r="G135" s="419">
        <f t="shared" si="555"/>
        <v>0</v>
      </c>
      <c r="H135" s="420">
        <f t="shared" si="526"/>
        <v>0</v>
      </c>
      <c r="I135" s="361">
        <f t="shared" si="556"/>
        <v>0</v>
      </c>
      <c r="J135" s="420">
        <f t="shared" si="527"/>
        <v>0</v>
      </c>
      <c r="K135" s="420">
        <f t="shared" si="528"/>
        <v>0</v>
      </c>
      <c r="L135" s="361">
        <f t="shared" si="557"/>
        <v>0</v>
      </c>
      <c r="M135" s="420">
        <f t="shared" si="529"/>
        <v>0</v>
      </c>
      <c r="N135" s="420">
        <f t="shared" si="530"/>
        <v>0</v>
      </c>
      <c r="O135" s="361">
        <f t="shared" si="558"/>
        <v>0</v>
      </c>
      <c r="P135" s="420">
        <f t="shared" si="531"/>
        <v>0</v>
      </c>
      <c r="Q135" s="421">
        <f t="shared" si="532"/>
        <v>0</v>
      </c>
      <c r="R135" s="363">
        <f t="shared" si="559"/>
        <v>0</v>
      </c>
      <c r="S135" s="420">
        <f t="shared" si="533"/>
        <v>0</v>
      </c>
      <c r="T135" s="421">
        <f t="shared" si="534"/>
        <v>0</v>
      </c>
      <c r="U135" s="363">
        <f t="shared" si="560"/>
        <v>0</v>
      </c>
      <c r="V135" s="420">
        <f t="shared" si="535"/>
        <v>0</v>
      </c>
      <c r="W135" s="421">
        <f t="shared" si="536"/>
        <v>0</v>
      </c>
      <c r="X135" s="363">
        <f t="shared" si="561"/>
        <v>0</v>
      </c>
      <c r="Y135" s="420">
        <f t="shared" si="537"/>
        <v>0</v>
      </c>
      <c r="Z135" s="421">
        <f t="shared" si="538"/>
        <v>0</v>
      </c>
      <c r="AA135" s="363">
        <f t="shared" si="562"/>
        <v>0</v>
      </c>
      <c r="AB135" s="420">
        <f t="shared" si="539"/>
        <v>0</v>
      </c>
      <c r="AC135" s="421">
        <f t="shared" si="540"/>
        <v>0</v>
      </c>
      <c r="AD135" s="363">
        <f t="shared" si="563"/>
        <v>0</v>
      </c>
      <c r="AE135" s="420">
        <f t="shared" si="541"/>
        <v>0</v>
      </c>
      <c r="AF135" s="421">
        <f t="shared" si="542"/>
        <v>0</v>
      </c>
      <c r="AG135" s="363">
        <f t="shared" si="564"/>
        <v>0</v>
      </c>
      <c r="AH135" s="420">
        <f t="shared" si="543"/>
        <v>0</v>
      </c>
      <c r="AI135" s="421">
        <f t="shared" si="544"/>
        <v>0</v>
      </c>
      <c r="AJ135" s="363">
        <f t="shared" si="565"/>
        <v>0</v>
      </c>
      <c r="AK135" s="420">
        <f t="shared" si="545"/>
        <v>0</v>
      </c>
      <c r="AL135" s="421">
        <f t="shared" si="546"/>
        <v>0</v>
      </c>
      <c r="AM135" s="363">
        <f t="shared" si="566"/>
        <v>0</v>
      </c>
      <c r="AN135" s="420">
        <f t="shared" si="547"/>
        <v>0</v>
      </c>
      <c r="AO135" s="421">
        <f t="shared" si="548"/>
        <v>0</v>
      </c>
      <c r="AP135" s="363">
        <f t="shared" si="567"/>
        <v>0</v>
      </c>
      <c r="AQ135" s="420">
        <f t="shared" si="549"/>
        <v>0</v>
      </c>
      <c r="AR135" s="421">
        <f t="shared" si="550"/>
        <v>0</v>
      </c>
      <c r="AS135" s="363">
        <f t="shared" si="568"/>
        <v>0</v>
      </c>
      <c r="AT135" s="420">
        <f t="shared" si="551"/>
        <v>0</v>
      </c>
      <c r="AU135" s="421">
        <f t="shared" si="552"/>
        <v>0</v>
      </c>
      <c r="AV135" s="363">
        <f t="shared" si="569"/>
        <v>0</v>
      </c>
      <c r="AW135" s="420">
        <f t="shared" si="553"/>
        <v>0</v>
      </c>
      <c r="AX135" s="421">
        <f t="shared" si="554"/>
        <v>0</v>
      </c>
      <c r="AY135" s="363">
        <f t="shared" si="570"/>
        <v>0</v>
      </c>
    </row>
    <row r="136" spans="1:51" ht="17" thickBot="1">
      <c r="A136" s="807"/>
      <c r="B136" s="809"/>
      <c r="C136" s="422" t="s">
        <v>124</v>
      </c>
      <c r="D136" s="423">
        <f t="shared" si="571"/>
        <v>0</v>
      </c>
      <c r="E136" s="424">
        <f t="shared" si="572"/>
        <v>0</v>
      </c>
      <c r="F136" s="425">
        <f t="shared" si="573"/>
        <v>0</v>
      </c>
      <c r="G136" s="426">
        <f t="shared" si="555"/>
        <v>0</v>
      </c>
      <c r="H136" s="427">
        <f t="shared" si="526"/>
        <v>0</v>
      </c>
      <c r="I136" s="370">
        <f t="shared" si="556"/>
        <v>0</v>
      </c>
      <c r="J136" s="427">
        <f t="shared" si="527"/>
        <v>0</v>
      </c>
      <c r="K136" s="427">
        <f t="shared" si="528"/>
        <v>0</v>
      </c>
      <c r="L136" s="370">
        <f t="shared" si="557"/>
        <v>0</v>
      </c>
      <c r="M136" s="427">
        <f t="shared" si="529"/>
        <v>0</v>
      </c>
      <c r="N136" s="427">
        <f t="shared" si="530"/>
        <v>0</v>
      </c>
      <c r="O136" s="370">
        <f t="shared" si="558"/>
        <v>0</v>
      </c>
      <c r="P136" s="427">
        <f t="shared" si="531"/>
        <v>0</v>
      </c>
      <c r="Q136" s="428">
        <f t="shared" si="532"/>
        <v>0</v>
      </c>
      <c r="R136" s="372">
        <f t="shared" si="559"/>
        <v>0</v>
      </c>
      <c r="S136" s="427">
        <f t="shared" si="533"/>
        <v>0</v>
      </c>
      <c r="T136" s="428">
        <f t="shared" si="534"/>
        <v>0</v>
      </c>
      <c r="U136" s="372">
        <f t="shared" si="560"/>
        <v>0</v>
      </c>
      <c r="V136" s="427">
        <f t="shared" si="535"/>
        <v>0</v>
      </c>
      <c r="W136" s="428">
        <f t="shared" si="536"/>
        <v>0</v>
      </c>
      <c r="X136" s="372">
        <f t="shared" si="561"/>
        <v>0</v>
      </c>
      <c r="Y136" s="427">
        <f t="shared" si="537"/>
        <v>0</v>
      </c>
      <c r="Z136" s="428">
        <f t="shared" si="538"/>
        <v>0</v>
      </c>
      <c r="AA136" s="372">
        <f t="shared" si="562"/>
        <v>0</v>
      </c>
      <c r="AB136" s="427">
        <f t="shared" si="539"/>
        <v>0</v>
      </c>
      <c r="AC136" s="428">
        <f t="shared" si="540"/>
        <v>0</v>
      </c>
      <c r="AD136" s="372">
        <f t="shared" si="563"/>
        <v>0</v>
      </c>
      <c r="AE136" s="427">
        <f t="shared" si="541"/>
        <v>0</v>
      </c>
      <c r="AF136" s="428">
        <f t="shared" si="542"/>
        <v>0</v>
      </c>
      <c r="AG136" s="372">
        <f t="shared" si="564"/>
        <v>0</v>
      </c>
      <c r="AH136" s="427">
        <f t="shared" si="543"/>
        <v>0</v>
      </c>
      <c r="AI136" s="428">
        <f t="shared" si="544"/>
        <v>0</v>
      </c>
      <c r="AJ136" s="372">
        <f t="shared" si="565"/>
        <v>0</v>
      </c>
      <c r="AK136" s="427">
        <f t="shared" si="545"/>
        <v>0</v>
      </c>
      <c r="AL136" s="428">
        <f t="shared" si="546"/>
        <v>0</v>
      </c>
      <c r="AM136" s="372">
        <f t="shared" si="566"/>
        <v>0</v>
      </c>
      <c r="AN136" s="427">
        <f t="shared" si="547"/>
        <v>0</v>
      </c>
      <c r="AO136" s="428">
        <f t="shared" si="548"/>
        <v>0</v>
      </c>
      <c r="AP136" s="372">
        <f t="shared" si="567"/>
        <v>0</v>
      </c>
      <c r="AQ136" s="427">
        <f t="shared" si="549"/>
        <v>0</v>
      </c>
      <c r="AR136" s="428">
        <f t="shared" si="550"/>
        <v>0</v>
      </c>
      <c r="AS136" s="372">
        <f t="shared" si="568"/>
        <v>0</v>
      </c>
      <c r="AT136" s="427">
        <f t="shared" si="551"/>
        <v>0</v>
      </c>
      <c r="AU136" s="428">
        <f t="shared" si="552"/>
        <v>0</v>
      </c>
      <c r="AV136" s="372">
        <f t="shared" si="569"/>
        <v>0</v>
      </c>
      <c r="AW136" s="427">
        <f t="shared" si="553"/>
        <v>0</v>
      </c>
      <c r="AX136" s="428">
        <f t="shared" si="554"/>
        <v>0</v>
      </c>
      <c r="AY136" s="372">
        <f t="shared" si="570"/>
        <v>0</v>
      </c>
    </row>
  </sheetData>
  <sheetProtection insertColumns="0" deleteColumns="0"/>
  <mergeCells count="87">
    <mergeCell ref="M2:O2"/>
    <mergeCell ref="AW2:AY2"/>
    <mergeCell ref="M3:O3"/>
    <mergeCell ref="AW3:AY3"/>
    <mergeCell ref="G4:I4"/>
    <mergeCell ref="J4:L4"/>
    <mergeCell ref="M4:O4"/>
    <mergeCell ref="AW4:AY4"/>
    <mergeCell ref="M1:O1"/>
    <mergeCell ref="AW1:AY1"/>
    <mergeCell ref="A67:A76"/>
    <mergeCell ref="B67:B76"/>
    <mergeCell ref="A127:A136"/>
    <mergeCell ref="B127:B136"/>
    <mergeCell ref="A107:A116"/>
    <mergeCell ref="B107:B116"/>
    <mergeCell ref="A87:A96"/>
    <mergeCell ref="B87:B96"/>
    <mergeCell ref="A117:A126"/>
    <mergeCell ref="B117:B126"/>
    <mergeCell ref="A97:A106"/>
    <mergeCell ref="B97:B106"/>
    <mergeCell ref="A77:A86"/>
    <mergeCell ref="B77:B86"/>
    <mergeCell ref="A6:A15"/>
    <mergeCell ref="B6:B15"/>
    <mergeCell ref="A16:A25"/>
    <mergeCell ref="B16:B25"/>
    <mergeCell ref="J1:L1"/>
    <mergeCell ref="D1:F1"/>
    <mergeCell ref="G1:I1"/>
    <mergeCell ref="G3:I3"/>
    <mergeCell ref="J3:L3"/>
    <mergeCell ref="G2:I2"/>
    <mergeCell ref="J2:L2"/>
    <mergeCell ref="A26:A35"/>
    <mergeCell ref="B26:B35"/>
    <mergeCell ref="A36:A45"/>
    <mergeCell ref="B36:B45"/>
    <mergeCell ref="A56:A65"/>
    <mergeCell ref="B56:B65"/>
    <mergeCell ref="A46:A55"/>
    <mergeCell ref="B46:B55"/>
    <mergeCell ref="P1:R1"/>
    <mergeCell ref="P2:R2"/>
    <mergeCell ref="P3:R3"/>
    <mergeCell ref="P4:R4"/>
    <mergeCell ref="S1:U1"/>
    <mergeCell ref="S2:U2"/>
    <mergeCell ref="S3:U3"/>
    <mergeCell ref="S4:U4"/>
    <mergeCell ref="V1:X1"/>
    <mergeCell ref="V2:X2"/>
    <mergeCell ref="V3:X3"/>
    <mergeCell ref="V4:X4"/>
    <mergeCell ref="Y1:AA1"/>
    <mergeCell ref="Y2:AA2"/>
    <mergeCell ref="Y3:AA3"/>
    <mergeCell ref="Y4:AA4"/>
    <mergeCell ref="AB1:AD1"/>
    <mergeCell ref="AB2:AD2"/>
    <mergeCell ref="AB3:AD3"/>
    <mergeCell ref="AB4:AD4"/>
    <mergeCell ref="AE1:AG1"/>
    <mergeCell ref="AE2:AG2"/>
    <mergeCell ref="AE3:AG3"/>
    <mergeCell ref="AE4:AG4"/>
    <mergeCell ref="AH1:AJ1"/>
    <mergeCell ref="AH2:AJ2"/>
    <mergeCell ref="AH3:AJ3"/>
    <mergeCell ref="AH4:AJ4"/>
    <mergeCell ref="AK1:AM1"/>
    <mergeCell ref="AK2:AM2"/>
    <mergeCell ref="AK3:AM3"/>
    <mergeCell ref="AK4:AM4"/>
    <mergeCell ref="AN1:AP1"/>
    <mergeCell ref="AN2:AP2"/>
    <mergeCell ref="AN3:AP3"/>
    <mergeCell ref="AN4:AP4"/>
    <mergeCell ref="AT1:AV1"/>
    <mergeCell ref="AT2:AV2"/>
    <mergeCell ref="AT3:AV3"/>
    <mergeCell ref="AT4:AV4"/>
    <mergeCell ref="AQ1:AS1"/>
    <mergeCell ref="AQ2:AS2"/>
    <mergeCell ref="AQ3:AS3"/>
    <mergeCell ref="AQ4:AS4"/>
  </mergeCells>
  <pageMargins left="0.7" right="0.7" top="0.75" bottom="0.75" header="0.3" footer="0.3"/>
  <pageSetup paperSize="9" scale="3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  <outlinePr summaryBelow="0" summaryRight="0"/>
  </sheetPr>
  <dimension ref="A1:M44"/>
  <sheetViews>
    <sheetView zoomScaleNormal="100" workbookViewId="0">
      <selection activeCell="C14" activeCellId="2" sqref="C7 C9 C14"/>
    </sheetView>
  </sheetViews>
  <sheetFormatPr baseColWidth="10" defaultColWidth="8.83203125" defaultRowHeight="15" outlineLevelCol="1"/>
  <cols>
    <col min="2" max="2" width="54.1640625" customWidth="1"/>
    <col min="3" max="3" width="18.83203125" customWidth="1"/>
    <col min="4" max="13" width="16" customWidth="1" outlineLevel="1"/>
  </cols>
  <sheetData>
    <row r="1" spans="1:13" ht="21">
      <c r="A1" s="98" t="s">
        <v>201</v>
      </c>
      <c r="B1" s="99"/>
      <c r="E1" s="88"/>
      <c r="F1" s="88"/>
      <c r="G1" s="88"/>
      <c r="H1" s="88"/>
      <c r="I1" s="88"/>
      <c r="J1" s="88"/>
      <c r="K1" s="88"/>
      <c r="L1" s="88"/>
      <c r="M1" s="85"/>
    </row>
    <row r="2" spans="1:13" ht="16">
      <c r="A2" s="100"/>
      <c r="B2" s="86"/>
      <c r="D2" s="86"/>
      <c r="E2" s="86"/>
      <c r="F2" s="86"/>
      <c r="G2" s="86"/>
      <c r="H2" s="86"/>
      <c r="I2" s="86"/>
      <c r="J2" s="86"/>
      <c r="K2" s="86"/>
      <c r="L2" s="86"/>
      <c r="M2" s="81"/>
    </row>
    <row r="3" spans="1:13" ht="16">
      <c r="A3" s="192" t="s">
        <v>202</v>
      </c>
      <c r="B3" s="86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3">
      <c r="D4" s="82"/>
      <c r="E4" s="82"/>
      <c r="F4" s="82"/>
      <c r="G4" s="82"/>
      <c r="H4" s="82"/>
      <c r="I4" s="82"/>
      <c r="J4" s="82"/>
      <c r="K4" s="82"/>
      <c r="L4" s="82"/>
      <c r="M4" s="82"/>
    </row>
    <row r="5" spans="1:13" ht="16" thickBot="1">
      <c r="B5" s="82"/>
      <c r="C5" s="652"/>
      <c r="D5" s="810" t="s">
        <v>203</v>
      </c>
      <c r="E5" s="810"/>
      <c r="F5" s="810"/>
      <c r="G5" s="810"/>
      <c r="H5" s="810"/>
      <c r="I5" s="810"/>
      <c r="J5" s="810"/>
      <c r="K5" s="810"/>
      <c r="L5" s="810"/>
      <c r="M5" s="810"/>
    </row>
    <row r="6" spans="1:13" ht="16">
      <c r="A6" s="161"/>
      <c r="B6" s="187" t="s">
        <v>113</v>
      </c>
      <c r="C6" s="92" t="s">
        <v>81</v>
      </c>
      <c r="D6" s="106" t="s">
        <v>115</v>
      </c>
      <c r="E6" s="107" t="s">
        <v>116</v>
      </c>
      <c r="F6" s="107" t="s">
        <v>117</v>
      </c>
      <c r="G6" s="107" t="s">
        <v>118</v>
      </c>
      <c r="H6" s="107" t="s">
        <v>119</v>
      </c>
      <c r="I6" s="107" t="s">
        <v>120</v>
      </c>
      <c r="J6" s="107" t="s">
        <v>121</v>
      </c>
      <c r="K6" s="107" t="s">
        <v>122</v>
      </c>
      <c r="L6" s="107" t="s">
        <v>123</v>
      </c>
      <c r="M6" s="108" t="s">
        <v>124</v>
      </c>
    </row>
    <row r="7" spans="1:13">
      <c r="A7" s="190"/>
      <c r="B7" s="188" t="s">
        <v>204</v>
      </c>
      <c r="C7" s="93">
        <f t="shared" ref="C7:C14" si="0">SUM(D7:M7)</f>
        <v>1156303.75</v>
      </c>
      <c r="D7" s="109">
        <f>'TCO TO BE- SW'!$E5+'TCO TO BE- SW'!$E15</f>
        <v>912178.75</v>
      </c>
      <c r="E7" s="90">
        <f>'TCO TO BE- SW'!$E6+'TCO TO BE- SW'!$E16</f>
        <v>244125</v>
      </c>
      <c r="F7" s="90">
        <f>'TCO TO BE- SW'!$E7+'TCO TO BE- SW'!$E17</f>
        <v>0</v>
      </c>
      <c r="G7" s="90">
        <f>'TCO TO BE- SW'!$E8+'TCO TO BE- SW'!$E18</f>
        <v>0</v>
      </c>
      <c r="H7" s="90">
        <f>'TCO TO BE- SW'!$E9+'TCO TO BE- SW'!$E19</f>
        <v>0</v>
      </c>
      <c r="I7" s="90">
        <f>'TCO TO BE- SW'!$E10+'TCO TO BE- SW'!$E20</f>
        <v>0</v>
      </c>
      <c r="J7" s="90">
        <f>'TCO TO BE- SW'!$E11+'TCO TO BE- SW'!$E21</f>
        <v>0</v>
      </c>
      <c r="K7" s="90">
        <f>'TCO TO BE- SW'!$E12+'TCO TO BE- SW'!$E22</f>
        <v>0</v>
      </c>
      <c r="L7" s="90">
        <f>'TCO TO BE- SW'!$E13+'TCO TO BE- SW'!$E23</f>
        <v>0</v>
      </c>
      <c r="M7" s="110">
        <f>'TCO TO BE- SW'!$E14+'TCO TO BE- SW'!$E24</f>
        <v>0</v>
      </c>
    </row>
    <row r="8" spans="1:13">
      <c r="A8" s="190"/>
      <c r="B8" s="188" t="s">
        <v>205</v>
      </c>
      <c r="C8" s="93">
        <f t="shared" si="0"/>
        <v>2093000</v>
      </c>
      <c r="D8" s="109">
        <f>'TCO TO BE- SW'!$E58+'TCO TO BE- SW'!$E68</f>
        <v>0</v>
      </c>
      <c r="E8" s="90">
        <f>'TCO TO BE- SW'!$E59+'TCO TO BE- SW'!$E69</f>
        <v>0</v>
      </c>
      <c r="F8" s="90">
        <f>'TCO TO BE- SW'!$E60+'TCO TO BE- SW'!$E70</f>
        <v>261625</v>
      </c>
      <c r="G8" s="90">
        <f>'TCO TO BE- SW'!$E61+'TCO TO BE- SW'!$E71</f>
        <v>261625</v>
      </c>
      <c r="H8" s="90">
        <f>'TCO TO BE- SW'!$E62+'TCO TO BE- SW'!$E72</f>
        <v>261625</v>
      </c>
      <c r="I8" s="90">
        <f>'TCO TO BE- SW'!$E63+'TCO TO BE- SW'!$E73</f>
        <v>261625</v>
      </c>
      <c r="J8" s="90">
        <f>'TCO TO BE- SW'!$E64+'TCO TO BE- SW'!$E74</f>
        <v>261625</v>
      </c>
      <c r="K8" s="90">
        <f>'TCO TO BE- SW'!$E65+'TCO TO BE- SW'!$E75</f>
        <v>261625</v>
      </c>
      <c r="L8" s="90">
        <f>'TCO TO BE- SW'!$E66+'TCO TO BE- SW'!$E76</f>
        <v>261625</v>
      </c>
      <c r="M8" s="110">
        <f>'TCO TO BE- SW'!$E67+'TCO TO BE- SW'!$E77</f>
        <v>261625</v>
      </c>
    </row>
    <row r="9" spans="1:13">
      <c r="A9" s="190"/>
      <c r="B9" s="188" t="s">
        <v>206</v>
      </c>
      <c r="C9" s="93">
        <f t="shared" si="0"/>
        <v>5220936</v>
      </c>
      <c r="D9" s="109">
        <f>'TCO TO BE- SW'!$E26+'TCO TO BE- SW'!$E36+'TCO TO BE- SW'!$E46</f>
        <v>1816500</v>
      </c>
      <c r="E9" s="90">
        <f>'TCO TO BE- SW'!$E27+'TCO TO BE- SW'!$E37+'TCO TO BE- SW'!$E47</f>
        <v>3404436</v>
      </c>
      <c r="F9" s="90">
        <f>'TCO TO BE- SW'!$E28+'TCO TO BE- SW'!$E38+'TCO TO BE- SW'!$E48</f>
        <v>0</v>
      </c>
      <c r="G9" s="90">
        <f>'TCO TO BE- SW'!$E29+'TCO TO BE- SW'!$E39+'TCO TO BE- SW'!$E49</f>
        <v>0</v>
      </c>
      <c r="H9" s="90">
        <f>'TCO TO BE- SW'!$E30+'TCO TO BE- SW'!$E40+'TCO TO BE- SW'!$E50</f>
        <v>0</v>
      </c>
      <c r="I9" s="90">
        <f>'TCO TO BE- SW'!$E31+'TCO TO BE- SW'!$E41+'TCO TO BE- SW'!$E51</f>
        <v>0</v>
      </c>
      <c r="J9" s="90">
        <f>'TCO TO BE- SW'!$E32+'TCO TO BE- SW'!$E42+'TCO TO BE- SW'!$E52</f>
        <v>0</v>
      </c>
      <c r="K9" s="90">
        <f>'TCO TO BE- SW'!$E33+'TCO TO BE- SW'!$E43+'TCO TO BE- SW'!$E53</f>
        <v>0</v>
      </c>
      <c r="L9" s="90">
        <f>'TCO TO BE- SW'!$E34+'TCO TO BE- SW'!$E44+'TCO TO BE- SW'!$E54</f>
        <v>0</v>
      </c>
      <c r="M9" s="110">
        <f>'TCO TO BE- SW'!$E35+'TCO TO BE- SW'!$E45+'TCO TO BE- SW'!$E55</f>
        <v>0</v>
      </c>
    </row>
    <row r="10" spans="1:13">
      <c r="A10" s="190"/>
      <c r="B10" s="188" t="s">
        <v>207</v>
      </c>
      <c r="C10" s="93">
        <f t="shared" si="0"/>
        <v>16956748.799999997</v>
      </c>
      <c r="D10" s="109">
        <f>'TCO TO BE- SW'!$E79+'TCO TO BE- SW'!$E89+'TCO TO BE- SW'!$E99+'TCO TO BE- SW'!$E109+'TCO TO BE- SW'!$E119</f>
        <v>1278000</v>
      </c>
      <c r="E10" s="90">
        <f>'TCO TO BE- SW'!$E80+'TCO TO BE- SW'!$E90+'TCO TO BE- SW'!$E100+'TCO TO BE- SW'!$E110+'TCO TO BE- SW'!$E120</f>
        <v>1278000</v>
      </c>
      <c r="F10" s="90">
        <f>'TCO TO BE- SW'!$E81+'TCO TO BE- SW'!$E91+'TCO TO BE- SW'!$E101+'TCO TO BE- SW'!$E111+'TCO TO BE- SW'!$E121</f>
        <v>1800093.6</v>
      </c>
      <c r="G10" s="90">
        <f>'TCO TO BE- SW'!$E82+'TCO TO BE- SW'!$E92+'TCO TO BE- SW'!$E102+'TCO TO BE- SW'!$E112+'TCO TO BE- SW'!$E122</f>
        <v>1800093.6</v>
      </c>
      <c r="H10" s="90">
        <f>'TCO TO BE- SW'!$E83+'TCO TO BE- SW'!$E93+'TCO TO BE- SW'!$E103+'TCO TO BE- SW'!$E113+'TCO TO BE- SW'!$E123</f>
        <v>1800093.6</v>
      </c>
      <c r="I10" s="90">
        <f>'TCO TO BE- SW'!$E84+'TCO TO BE- SW'!$E94+'TCO TO BE- SW'!$E104+'TCO TO BE- SW'!$E114+'TCO TO BE- SW'!$E124</f>
        <v>1800093.6</v>
      </c>
      <c r="J10" s="90">
        <f>'TCO TO BE- SW'!$E85+'TCO TO BE- SW'!$E95+'TCO TO BE- SW'!$E105+'TCO TO BE- SW'!$E115+'TCO TO BE- SW'!$E125</f>
        <v>1800093.6</v>
      </c>
      <c r="K10" s="90">
        <f>'TCO TO BE- SW'!$E86+'TCO TO BE- SW'!$E96+'TCO TO BE- SW'!$E106+'TCO TO BE- SW'!$E116+'TCO TO BE- SW'!$E126</f>
        <v>1800093.6</v>
      </c>
      <c r="L10" s="90">
        <f>'TCO TO BE- SW'!$E87+'TCO TO BE- SW'!$E97+'TCO TO BE- SW'!$E107+'TCO TO BE- SW'!$E117+'TCO TO BE- SW'!$E127</f>
        <v>1800093.6</v>
      </c>
      <c r="M10" s="110">
        <f>'TCO TO BE- SW'!$E88+'TCO TO BE- SW'!$E98+'TCO TO BE- SW'!$E108+'TCO TO BE- SW'!$E118+'TCO TO BE- SW'!$E128</f>
        <v>1800093.6</v>
      </c>
    </row>
    <row r="11" spans="1:13">
      <c r="A11" s="190"/>
      <c r="B11" s="188" t="s">
        <v>208</v>
      </c>
      <c r="C11" s="93">
        <f t="shared" si="0"/>
        <v>0</v>
      </c>
      <c r="D11" s="109">
        <f>'TCO TO BE- SW'!E151+'TCO TO BE- SW'!E161</f>
        <v>0</v>
      </c>
      <c r="E11" s="90">
        <f>'TCO TO BE- SW'!E152+'TCO TO BE- SW'!E162</f>
        <v>0</v>
      </c>
      <c r="F11" s="90">
        <f>'TCO TO BE- SW'!E153+'TCO TO BE- SW'!E163</f>
        <v>0</v>
      </c>
      <c r="G11" s="90">
        <f>'TCO TO BE- SW'!E154+'TCO TO BE- SW'!E164</f>
        <v>0</v>
      </c>
      <c r="H11" s="90">
        <f>'TCO TO BE- SW'!E155+'TCO TO BE- SW'!E165</f>
        <v>0</v>
      </c>
      <c r="I11" s="90">
        <f>'TCO TO BE- SW'!E156+'TCO TO BE- SW'!E166</f>
        <v>0</v>
      </c>
      <c r="J11" s="90">
        <f>'TCO TO BE- SW'!E157+'TCO TO BE- SW'!E167</f>
        <v>0</v>
      </c>
      <c r="K11" s="90">
        <f>'TCO TO BE- SW'!E158+'TCO TO BE- SW'!E168</f>
        <v>0</v>
      </c>
      <c r="L11" s="90">
        <f>'TCO TO BE- SW'!E159+'TCO TO BE- SW'!E169</f>
        <v>0</v>
      </c>
      <c r="M11" s="110">
        <f>'TCO TO BE- SW'!E160+'TCO TO BE- SW'!E170</f>
        <v>0</v>
      </c>
    </row>
    <row r="12" spans="1:13">
      <c r="A12" s="190"/>
      <c r="B12" s="188" t="s">
        <v>209</v>
      </c>
      <c r="C12" s="93">
        <f t="shared" si="0"/>
        <v>0</v>
      </c>
      <c r="D12" s="109">
        <f>'TCO TO BE - HW'!$E4+'TCO TO BE - HW'!$E14+'TCO TO BE - HW'!$E24</f>
        <v>0</v>
      </c>
      <c r="E12" s="90">
        <f>'TCO TO BE - HW'!$E5+'TCO TO BE - HW'!$E15+'TCO TO BE - HW'!$E25</f>
        <v>0</v>
      </c>
      <c r="F12" s="90">
        <f>'TCO TO BE - HW'!$E6+'TCO TO BE - HW'!$E16+'TCO TO BE - HW'!$E26</f>
        <v>0</v>
      </c>
      <c r="G12" s="90">
        <f>'TCO TO BE - HW'!$E7+'TCO TO BE - HW'!$E17+'TCO TO BE - HW'!$E27</f>
        <v>0</v>
      </c>
      <c r="H12" s="90">
        <f>'TCO TO BE - HW'!$E8+'TCO TO BE - HW'!$E18+'TCO TO BE - HW'!$E28</f>
        <v>0</v>
      </c>
      <c r="I12" s="90">
        <f>'TCO TO BE - HW'!$E9+'TCO TO BE - HW'!$E19+'TCO TO BE - HW'!$E29</f>
        <v>0</v>
      </c>
      <c r="J12" s="90">
        <f>'TCO TO BE - HW'!$E10+'TCO TO BE - HW'!$E20+'TCO TO BE - HW'!$E30</f>
        <v>0</v>
      </c>
      <c r="K12" s="90">
        <f>'TCO TO BE - HW'!$E11+'TCO TO BE - HW'!$E21+'TCO TO BE - HW'!$E31</f>
        <v>0</v>
      </c>
      <c r="L12" s="90">
        <f>'TCO TO BE - HW'!$E12+'TCO TO BE - HW'!$E22+'TCO TO BE - HW'!$E32</f>
        <v>0</v>
      </c>
      <c r="M12" s="110">
        <f>'TCO TO BE - HW'!$E13+'TCO TO BE - HW'!$E23+'TCO TO BE - HW'!$E33</f>
        <v>0</v>
      </c>
    </row>
    <row r="13" spans="1:13">
      <c r="A13" s="190"/>
      <c r="B13" s="188" t="s">
        <v>210</v>
      </c>
      <c r="C13" s="93">
        <f t="shared" si="0"/>
        <v>0</v>
      </c>
      <c r="D13" s="109">
        <f>'TCO TO BE - HW'!$E35+'TCO TO BE - HW'!$E45+'TCO TO BE - HW'!$E55+'TCO TO BE - HW'!$E65+'TCO TO BE - HW'!$E75</f>
        <v>0</v>
      </c>
      <c r="E13" s="90">
        <f>'TCO TO BE - HW'!$E36+'TCO TO BE - HW'!$E46+'TCO TO BE - HW'!$E56+'TCO TO BE - HW'!$E66+'TCO TO BE - HW'!$E76</f>
        <v>0</v>
      </c>
      <c r="F13" s="90">
        <f>'TCO TO BE - HW'!$E37+'TCO TO BE - HW'!$E47+'TCO TO BE - HW'!$E57+'TCO TO BE - HW'!$E67+'TCO TO BE - HW'!$E77</f>
        <v>0</v>
      </c>
      <c r="G13" s="90">
        <f>'TCO TO BE - HW'!$E38+'TCO TO BE - HW'!$E48+'TCO TO BE - HW'!$E58+'TCO TO BE - HW'!$E68+'TCO TO BE - HW'!$E78</f>
        <v>0</v>
      </c>
      <c r="H13" s="90">
        <f>'TCO TO BE - HW'!$E39+'TCO TO BE - HW'!$E49+'TCO TO BE - HW'!$E59+'TCO TO BE - HW'!$E69+'TCO TO BE - HW'!$E79</f>
        <v>0</v>
      </c>
      <c r="I13" s="90">
        <f>'TCO TO BE - HW'!$E40+'TCO TO BE - HW'!$E50+'TCO TO BE - HW'!$E60+'TCO TO BE - HW'!$E70+'TCO TO BE - HW'!$E80</f>
        <v>0</v>
      </c>
      <c r="J13" s="90">
        <f>'TCO TO BE - HW'!$E41+'TCO TO BE - HW'!$E51+'TCO TO BE - HW'!$E61+'TCO TO BE - HW'!$E71+'TCO TO BE - HW'!$E81</f>
        <v>0</v>
      </c>
      <c r="K13" s="90">
        <f>'TCO TO BE - HW'!$E42+'TCO TO BE - HW'!$E52+'TCO TO BE - HW'!$E62+'TCO TO BE - HW'!$E72+'TCO TO BE - HW'!$E82</f>
        <v>0</v>
      </c>
      <c r="L13" s="90">
        <f>'TCO TO BE - HW'!$E43+'TCO TO BE - HW'!$E53+'TCO TO BE - HW'!$E63+'TCO TO BE - HW'!$E73+'TCO TO BE - HW'!$E83</f>
        <v>0</v>
      </c>
      <c r="M13" s="110">
        <f>'TCO TO BE - HW'!$E44+'TCO TO BE - HW'!$E54+'TCO TO BE - HW'!$E64+'TCO TO BE - HW'!$E74+'TCO TO BE - HW'!$E84</f>
        <v>0</v>
      </c>
    </row>
    <row r="14" spans="1:13" ht="16" thickBot="1">
      <c r="A14" s="190"/>
      <c r="B14" s="456" t="s">
        <v>90</v>
      </c>
      <c r="C14" s="457">
        <f t="shared" si="0"/>
        <v>480007.29301075271</v>
      </c>
      <c r="D14" s="459">
        <f>'TCO TO BE- SW'!E130+'TCO TO BE- SW'!E140</f>
        <v>171431.17607526883</v>
      </c>
      <c r="E14" s="460">
        <f>'TCO TO BE- SW'!E131+'TCO TO BE- SW'!E141</f>
        <v>308576.11693548388</v>
      </c>
      <c r="F14" s="460">
        <f>'TCO TO BE- SW'!E132+'TCO TO BE- SW'!E142</f>
        <v>0</v>
      </c>
      <c r="G14" s="460">
        <f>'TCO TO BE- SW'!E133+'TCO TO BE- SW'!E143</f>
        <v>0</v>
      </c>
      <c r="H14" s="460">
        <f>'TCO TO BE- SW'!E134+'TCO TO BE- SW'!E144</f>
        <v>0</v>
      </c>
      <c r="I14" s="460">
        <f>'TCO TO BE- SW'!E135+'TCO TO BE- SW'!E145</f>
        <v>0</v>
      </c>
      <c r="J14" s="460">
        <f>'TCO TO BE- SW'!E136+'TCO TO BE- SW'!E146</f>
        <v>0</v>
      </c>
      <c r="K14" s="460">
        <f>'TCO TO BE- SW'!E137+'TCO TO BE- SW'!E147</f>
        <v>0</v>
      </c>
      <c r="L14" s="460">
        <f>'TCO TO BE- SW'!E138+'TCO TO BE- SW'!E148</f>
        <v>0</v>
      </c>
      <c r="M14" s="461">
        <f>'TCO TO BE- SW'!E139+'TCO TO BE- SW'!E149</f>
        <v>0</v>
      </c>
    </row>
    <row r="15" spans="1:13" ht="16" thickBot="1">
      <c r="A15" s="191"/>
      <c r="B15" s="189" t="s">
        <v>211</v>
      </c>
      <c r="C15" s="95">
        <f>SUM(C7:C14)</f>
        <v>25906995.84301075</v>
      </c>
      <c r="D15" s="91">
        <f>SUM(D7:D14)</f>
        <v>4178109.926075269</v>
      </c>
      <c r="E15" s="84">
        <f t="shared" ref="E15:M15" si="1">SUM(E7:E14)</f>
        <v>5235137.1169354841</v>
      </c>
      <c r="F15" s="84">
        <f t="shared" si="1"/>
        <v>2061718.6</v>
      </c>
      <c r="G15" s="84">
        <f t="shared" si="1"/>
        <v>2061718.6</v>
      </c>
      <c r="H15" s="84">
        <f t="shared" si="1"/>
        <v>2061718.6</v>
      </c>
      <c r="I15" s="84">
        <f t="shared" si="1"/>
        <v>2061718.6</v>
      </c>
      <c r="J15" s="84">
        <f t="shared" si="1"/>
        <v>2061718.6</v>
      </c>
      <c r="K15" s="84">
        <f t="shared" si="1"/>
        <v>2061718.6</v>
      </c>
      <c r="L15" s="97">
        <f t="shared" si="1"/>
        <v>2061718.6</v>
      </c>
      <c r="M15" s="96">
        <f t="shared" si="1"/>
        <v>2061718.6</v>
      </c>
    </row>
    <row r="16" spans="1:13">
      <c r="A16" s="82"/>
      <c r="B16" s="82"/>
      <c r="C16" s="82"/>
      <c r="D16" s="82"/>
      <c r="E16" s="82"/>
      <c r="F16" s="82"/>
      <c r="G16" s="82"/>
      <c r="H16" s="82"/>
      <c r="I16" s="82"/>
      <c r="J16" s="82"/>
      <c r="K16" s="82"/>
      <c r="L16" s="82"/>
      <c r="M16" s="82"/>
    </row>
    <row r="17" spans="1:13">
      <c r="A17" s="82"/>
      <c r="B17" s="82"/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</row>
    <row r="18" spans="1:13" ht="32.25" customHeight="1">
      <c r="A18" s="811" t="s">
        <v>212</v>
      </c>
      <c r="B18" s="811"/>
      <c r="C18" s="811"/>
      <c r="D18" s="87"/>
      <c r="E18" s="86"/>
      <c r="F18" s="86"/>
      <c r="G18" s="86"/>
      <c r="H18" s="86"/>
      <c r="I18" s="86"/>
      <c r="J18" s="86"/>
      <c r="K18" s="86"/>
      <c r="L18" s="86"/>
      <c r="M18" s="81"/>
    </row>
    <row r="19" spans="1:13">
      <c r="A19" s="82"/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</row>
    <row r="20" spans="1:13" ht="16" thickBot="1">
      <c r="B20" s="82"/>
      <c r="C20" s="652"/>
      <c r="D20" s="810" t="s">
        <v>203</v>
      </c>
      <c r="E20" s="810"/>
      <c r="F20" s="810"/>
      <c r="G20" s="810"/>
      <c r="H20" s="810"/>
      <c r="I20" s="810"/>
      <c r="J20" s="810"/>
      <c r="K20" s="810"/>
      <c r="L20" s="810"/>
      <c r="M20" s="810"/>
    </row>
    <row r="21" spans="1:13" ht="17" customHeight="1">
      <c r="A21" s="161"/>
      <c r="B21" s="186" t="s">
        <v>112</v>
      </c>
      <c r="C21" s="92" t="s">
        <v>81</v>
      </c>
      <c r="D21" s="106" t="s">
        <v>115</v>
      </c>
      <c r="E21" s="107" t="s">
        <v>116</v>
      </c>
      <c r="F21" s="107" t="s">
        <v>117</v>
      </c>
      <c r="G21" s="107" t="s">
        <v>118</v>
      </c>
      <c r="H21" s="107" t="s">
        <v>119</v>
      </c>
      <c r="I21" s="107" t="s">
        <v>120</v>
      </c>
      <c r="J21" s="107" t="s">
        <v>121</v>
      </c>
      <c r="K21" s="107" t="s">
        <v>122</v>
      </c>
      <c r="L21" s="107" t="s">
        <v>123</v>
      </c>
      <c r="M21" s="108" t="s">
        <v>124</v>
      </c>
    </row>
    <row r="22" spans="1:13" ht="15" customHeight="1">
      <c r="A22" s="190"/>
      <c r="B22" s="104" t="s">
        <v>204</v>
      </c>
      <c r="C22" s="93">
        <v>0</v>
      </c>
      <c r="D22" s="109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110">
        <v>0</v>
      </c>
    </row>
    <row r="23" spans="1:13" ht="17.25" customHeight="1">
      <c r="A23" s="190"/>
      <c r="B23" s="104" t="s">
        <v>205</v>
      </c>
      <c r="C23" s="93">
        <f>SUM(D23:M23)</f>
        <v>4120</v>
      </c>
      <c r="D23" s="109">
        <f>'TCO AS IS - SW'!E5+'TCO AS IS - SW'!E15</f>
        <v>412</v>
      </c>
      <c r="E23" s="90">
        <f>'TCO AS IS - SW'!E6+'TCO AS IS - SW'!E16</f>
        <v>412</v>
      </c>
      <c r="F23" s="90">
        <f>'TCO AS IS - SW'!E7+'TCO AS IS - SW'!E17</f>
        <v>412</v>
      </c>
      <c r="G23" s="90">
        <f>'TCO AS IS - SW'!E8+'TCO AS IS - SW'!E18</f>
        <v>412</v>
      </c>
      <c r="H23" s="90">
        <f>'TCO AS IS - SW'!E9+'TCO AS IS - SW'!E19</f>
        <v>412</v>
      </c>
      <c r="I23" s="90">
        <f>'TCO AS IS - SW'!E10+'TCO AS IS - SW'!E20</f>
        <v>412</v>
      </c>
      <c r="J23" s="90">
        <f>'TCO AS IS - SW'!E11+'TCO AS IS - SW'!E21</f>
        <v>412</v>
      </c>
      <c r="K23" s="90">
        <f>'TCO AS IS - SW'!E12+'TCO AS IS - SW'!E22</f>
        <v>412</v>
      </c>
      <c r="L23" s="90">
        <f>'TCO AS IS - SW'!E13+'TCO AS IS - SW'!E23</f>
        <v>412</v>
      </c>
      <c r="M23" s="110">
        <f>'TCO AS IS - SW'!E14+'TCO AS IS - SW'!E24</f>
        <v>412</v>
      </c>
    </row>
    <row r="24" spans="1:13">
      <c r="A24" s="190"/>
      <c r="B24" s="104" t="s">
        <v>206</v>
      </c>
      <c r="C24" s="93">
        <v>0</v>
      </c>
      <c r="D24" s="109">
        <v>0</v>
      </c>
      <c r="E24" s="90">
        <v>0</v>
      </c>
      <c r="F24" s="90">
        <v>0</v>
      </c>
      <c r="G24" s="90">
        <v>0</v>
      </c>
      <c r="H24" s="90">
        <v>0</v>
      </c>
      <c r="I24" s="90">
        <v>0</v>
      </c>
      <c r="J24" s="90">
        <v>0</v>
      </c>
      <c r="K24" s="90">
        <v>0</v>
      </c>
      <c r="L24" s="90">
        <v>0</v>
      </c>
      <c r="M24" s="110">
        <v>0</v>
      </c>
    </row>
    <row r="25" spans="1:13">
      <c r="A25" s="190"/>
      <c r="B25" s="104" t="s">
        <v>207</v>
      </c>
      <c r="C25" s="93">
        <f>SUM(D25:M25)</f>
        <v>12984000</v>
      </c>
      <c r="D25" s="109">
        <f>'TCO AS IS - SW'!E26+'TCO AS IS - SW'!E36+'TCO AS IS - SW'!E46+'TCO AS IS - SW'!E56+'TCO AS IS - SW'!E66</f>
        <v>1298400</v>
      </c>
      <c r="E25" s="90">
        <f>'TCO AS IS - SW'!E27+'TCO AS IS - SW'!E37+'TCO AS IS - SW'!E47+'TCO AS IS - SW'!E57+'TCO AS IS - SW'!E67</f>
        <v>1298400</v>
      </c>
      <c r="F25" s="90">
        <f>'TCO AS IS - SW'!E28+'TCO AS IS - SW'!E38+'TCO AS IS - SW'!E48+'TCO AS IS - SW'!E58+'TCO AS IS - SW'!E68</f>
        <v>1298400</v>
      </c>
      <c r="G25" s="90">
        <f>'TCO AS IS - SW'!E29+'TCO AS IS - SW'!E39+'TCO AS IS - SW'!E49+'TCO AS IS - SW'!E59+'TCO AS IS - SW'!E69</f>
        <v>1298400</v>
      </c>
      <c r="H25" s="90">
        <f>'TCO AS IS - SW'!E30+'TCO AS IS - SW'!E40+'TCO AS IS - SW'!E50+'TCO AS IS - SW'!E60+'TCO AS IS - SW'!E70</f>
        <v>1298400</v>
      </c>
      <c r="I25" s="90">
        <f>'TCO AS IS - SW'!E31+'TCO AS IS - SW'!E41+'TCO AS IS - SW'!E51+'TCO AS IS - SW'!E61+'TCO AS IS - SW'!E71</f>
        <v>1298400</v>
      </c>
      <c r="J25" s="90">
        <f>'TCO AS IS - SW'!E32+'TCO AS IS - SW'!E42+'TCO AS IS - SW'!E52+'TCO AS IS - SW'!E62+'TCO AS IS - SW'!E72</f>
        <v>1298400</v>
      </c>
      <c r="K25" s="90">
        <f>'TCO AS IS - SW'!E33+'TCO AS IS - SW'!E43+'TCO AS IS - SW'!E53+'TCO AS IS - SW'!E63+'TCO AS IS - SW'!E73</f>
        <v>1298400</v>
      </c>
      <c r="L25" s="90">
        <f>'TCO AS IS - SW'!E34+'TCO AS IS - SW'!E44+'TCO AS IS - SW'!E54+'TCO AS IS - SW'!E64+'TCO AS IS - SW'!E74</f>
        <v>1298400</v>
      </c>
      <c r="M25" s="110">
        <f>'TCO AS IS - SW'!E35+'TCO AS IS - SW'!E45+'TCO AS IS - SW'!E55+'TCO AS IS - SW'!E65+'TCO AS IS - SW'!E75</f>
        <v>1298400</v>
      </c>
    </row>
    <row r="26" spans="1:13">
      <c r="A26" s="190"/>
      <c r="B26" s="104" t="s">
        <v>209</v>
      </c>
      <c r="C26" s="93">
        <v>0</v>
      </c>
      <c r="D26" s="109">
        <v>0</v>
      </c>
      <c r="E26" s="90">
        <v>0</v>
      </c>
      <c r="F26" s="90">
        <v>0</v>
      </c>
      <c r="G26" s="90">
        <v>0</v>
      </c>
      <c r="H26" s="90">
        <v>0</v>
      </c>
      <c r="I26" s="90">
        <v>0</v>
      </c>
      <c r="J26" s="90">
        <v>0</v>
      </c>
      <c r="K26" s="90">
        <v>0</v>
      </c>
      <c r="L26" s="90">
        <v>0</v>
      </c>
      <c r="M26" s="110">
        <v>0</v>
      </c>
    </row>
    <row r="27" spans="1:13" ht="16" thickBot="1">
      <c r="A27" s="190"/>
      <c r="B27" s="105" t="s">
        <v>210</v>
      </c>
      <c r="C27" s="94">
        <f>SUM(D27:M27)</f>
        <v>1000</v>
      </c>
      <c r="D27" s="111">
        <f>'TCO AS IS - HW'!E4+'TCO AS IS - HW'!E14+'TCO AS IS - HW'!E24+'TCO AS IS - HW'!E34+'TCO AS IS - HW'!E44</f>
        <v>100</v>
      </c>
      <c r="E27" s="112">
        <f>'TCO AS IS - HW'!E5+'TCO AS IS - HW'!E15+'TCO AS IS - HW'!E25+'TCO AS IS - HW'!E35+'TCO AS IS - HW'!E45</f>
        <v>100</v>
      </c>
      <c r="F27" s="112">
        <f>'TCO AS IS - HW'!E6+'TCO AS IS - HW'!E16+'TCO AS IS - HW'!E26+'TCO AS IS - HW'!E36+'TCO AS IS - HW'!E46</f>
        <v>100</v>
      </c>
      <c r="G27" s="112">
        <f>'TCO AS IS - HW'!E7+'TCO AS IS - HW'!E17+'TCO AS IS - HW'!E27+'TCO AS IS - HW'!E37+'TCO AS IS - HW'!E47</f>
        <v>100</v>
      </c>
      <c r="H27" s="112">
        <f>'TCO AS IS - HW'!E8+'TCO AS IS - HW'!E18+'TCO AS IS - HW'!E28+'TCO AS IS - HW'!E38+'TCO AS IS - HW'!E48</f>
        <v>100</v>
      </c>
      <c r="I27" s="112">
        <f>'TCO AS IS - HW'!E9+'TCO AS IS - HW'!E19+'TCO AS IS - HW'!E29+'TCO AS IS - HW'!E39+'TCO AS IS - HW'!E49</f>
        <v>100</v>
      </c>
      <c r="J27" s="112">
        <f>'TCO AS IS - HW'!E10+'TCO AS IS - HW'!E20+'TCO AS IS - HW'!E30+'TCO AS IS - HW'!E40+'TCO AS IS - HW'!E50</f>
        <v>100</v>
      </c>
      <c r="K27" s="112">
        <f>'TCO AS IS - HW'!E11+'TCO AS IS - HW'!E21+'TCO AS IS - HW'!E31+'TCO AS IS - HW'!E41+'TCO AS IS - HW'!E51</f>
        <v>100</v>
      </c>
      <c r="L27" s="112">
        <f>'TCO AS IS - HW'!E12+'TCO AS IS - HW'!E22+'TCO AS IS - HW'!E32+'TCO AS IS - HW'!E42+'TCO AS IS - HW'!E52</f>
        <v>100</v>
      </c>
      <c r="M27" s="113">
        <f>'TCO AS IS - HW'!E13+'TCO AS IS - HW'!E23+'TCO AS IS - HW'!E33+'TCO AS IS - HW'!E43+'TCO AS IS - HW'!E53</f>
        <v>100</v>
      </c>
    </row>
    <row r="28" spans="1:13" ht="16" thickBot="1">
      <c r="A28" s="191"/>
      <c r="B28" s="89" t="s">
        <v>211</v>
      </c>
      <c r="C28" s="95">
        <f t="shared" ref="C28:M28" si="2">SUM(C22:C27)</f>
        <v>12989120</v>
      </c>
      <c r="D28" s="91">
        <f t="shared" si="2"/>
        <v>1298912</v>
      </c>
      <c r="E28" s="84">
        <f t="shared" si="2"/>
        <v>1298912</v>
      </c>
      <c r="F28" s="84">
        <f t="shared" si="2"/>
        <v>1298912</v>
      </c>
      <c r="G28" s="84">
        <f t="shared" si="2"/>
        <v>1298912</v>
      </c>
      <c r="H28" s="84">
        <f t="shared" si="2"/>
        <v>1298912</v>
      </c>
      <c r="I28" s="84">
        <f t="shared" si="2"/>
        <v>1298912</v>
      </c>
      <c r="J28" s="84">
        <f t="shared" si="2"/>
        <v>1298912</v>
      </c>
      <c r="K28" s="84">
        <f t="shared" si="2"/>
        <v>1298912</v>
      </c>
      <c r="L28" s="97">
        <f t="shared" si="2"/>
        <v>1298912</v>
      </c>
      <c r="M28" s="96">
        <f t="shared" si="2"/>
        <v>1298912</v>
      </c>
    </row>
    <row r="29" spans="1:13">
      <c r="A29" s="183"/>
      <c r="B29" s="184"/>
      <c r="C29" s="185"/>
      <c r="D29" s="185"/>
      <c r="E29" s="185"/>
      <c r="F29" s="185"/>
      <c r="G29" s="185"/>
      <c r="H29" s="185"/>
      <c r="I29" s="185"/>
      <c r="J29" s="185"/>
      <c r="K29" s="185"/>
      <c r="L29" s="185"/>
      <c r="M29" s="185"/>
    </row>
    <row r="32" spans="1:13" ht="15.75" customHeight="1">
      <c r="A32" s="811" t="s">
        <v>213</v>
      </c>
      <c r="B32" s="811"/>
      <c r="C32" s="811"/>
    </row>
    <row r="34" spans="1:13" ht="16" thickBot="1"/>
    <row r="35" spans="1:13" ht="16">
      <c r="A35" s="161"/>
      <c r="B35" s="186" t="s">
        <v>186</v>
      </c>
      <c r="C35" s="147" t="s">
        <v>81</v>
      </c>
      <c r="D35" s="148" t="s">
        <v>115</v>
      </c>
      <c r="E35" s="149" t="s">
        <v>116</v>
      </c>
      <c r="F35" s="149" t="s">
        <v>117</v>
      </c>
      <c r="G35" s="149" t="s">
        <v>118</v>
      </c>
      <c r="H35" s="149" t="s">
        <v>119</v>
      </c>
      <c r="I35" s="149" t="s">
        <v>120</v>
      </c>
      <c r="J35" s="149" t="s">
        <v>121</v>
      </c>
      <c r="K35" s="149" t="s">
        <v>122</v>
      </c>
      <c r="L35" s="149" t="s">
        <v>123</v>
      </c>
      <c r="M35" s="150" t="s">
        <v>124</v>
      </c>
    </row>
    <row r="36" spans="1:13">
      <c r="A36" s="190"/>
      <c r="B36" s="151" t="s">
        <v>204</v>
      </c>
      <c r="C36" s="93">
        <f>SUM(D36:M36)</f>
        <v>1156303.75</v>
      </c>
      <c r="D36" s="109">
        <f t="shared" ref="D36:M36" si="3">D7-D22</f>
        <v>912178.75</v>
      </c>
      <c r="E36" s="90">
        <f t="shared" si="3"/>
        <v>244125</v>
      </c>
      <c r="F36" s="90">
        <f t="shared" si="3"/>
        <v>0</v>
      </c>
      <c r="G36" s="90">
        <f t="shared" si="3"/>
        <v>0</v>
      </c>
      <c r="H36" s="90">
        <f t="shared" si="3"/>
        <v>0</v>
      </c>
      <c r="I36" s="90">
        <f t="shared" si="3"/>
        <v>0</v>
      </c>
      <c r="J36" s="90">
        <f t="shared" si="3"/>
        <v>0</v>
      </c>
      <c r="K36" s="90">
        <f t="shared" si="3"/>
        <v>0</v>
      </c>
      <c r="L36" s="90">
        <f t="shared" si="3"/>
        <v>0</v>
      </c>
      <c r="M36" s="152">
        <f t="shared" si="3"/>
        <v>0</v>
      </c>
    </row>
    <row r="37" spans="1:13">
      <c r="A37" s="190"/>
      <c r="B37" s="104" t="s">
        <v>205</v>
      </c>
      <c r="C37" s="93">
        <f t="shared" ref="C37:C43" si="4">SUM(D37:M37)</f>
        <v>2088880</v>
      </c>
      <c r="D37" s="109">
        <f t="shared" ref="D37:M37" si="5">D8-D23</f>
        <v>-412</v>
      </c>
      <c r="E37" s="90">
        <f t="shared" si="5"/>
        <v>-412</v>
      </c>
      <c r="F37" s="90">
        <f t="shared" si="5"/>
        <v>261213</v>
      </c>
      <c r="G37" s="90">
        <f t="shared" si="5"/>
        <v>261213</v>
      </c>
      <c r="H37" s="90">
        <f t="shared" si="5"/>
        <v>261213</v>
      </c>
      <c r="I37" s="90">
        <f t="shared" si="5"/>
        <v>261213</v>
      </c>
      <c r="J37" s="90">
        <f t="shared" si="5"/>
        <v>261213</v>
      </c>
      <c r="K37" s="90">
        <f t="shared" si="5"/>
        <v>261213</v>
      </c>
      <c r="L37" s="153">
        <f t="shared" si="5"/>
        <v>261213</v>
      </c>
      <c r="M37" s="110">
        <f t="shared" si="5"/>
        <v>261213</v>
      </c>
    </row>
    <row r="38" spans="1:13">
      <c r="A38" s="190"/>
      <c r="B38" s="151" t="s">
        <v>206</v>
      </c>
      <c r="C38" s="93">
        <f t="shared" si="4"/>
        <v>5220936</v>
      </c>
      <c r="D38" s="109">
        <f t="shared" ref="D38:M38" si="6">D9-D24</f>
        <v>1816500</v>
      </c>
      <c r="E38" s="90">
        <f t="shared" si="6"/>
        <v>3404436</v>
      </c>
      <c r="F38" s="90">
        <f t="shared" si="6"/>
        <v>0</v>
      </c>
      <c r="G38" s="90">
        <f t="shared" si="6"/>
        <v>0</v>
      </c>
      <c r="H38" s="90">
        <f t="shared" si="6"/>
        <v>0</v>
      </c>
      <c r="I38" s="90">
        <f t="shared" si="6"/>
        <v>0</v>
      </c>
      <c r="J38" s="90">
        <f t="shared" si="6"/>
        <v>0</v>
      </c>
      <c r="K38" s="90">
        <f t="shared" si="6"/>
        <v>0</v>
      </c>
      <c r="L38" s="153">
        <f t="shared" si="6"/>
        <v>0</v>
      </c>
      <c r="M38" s="110">
        <f t="shared" si="6"/>
        <v>0</v>
      </c>
    </row>
    <row r="39" spans="1:13">
      <c r="A39" s="190"/>
      <c r="B39" s="104" t="s">
        <v>207</v>
      </c>
      <c r="C39" s="93">
        <f t="shared" si="4"/>
        <v>3972748.8000000007</v>
      </c>
      <c r="D39" s="109">
        <f t="shared" ref="D39:M39" si="7">D10-D25</f>
        <v>-20400</v>
      </c>
      <c r="E39" s="90">
        <f t="shared" si="7"/>
        <v>-20400</v>
      </c>
      <c r="F39" s="90">
        <f t="shared" si="7"/>
        <v>501693.60000000009</v>
      </c>
      <c r="G39" s="90">
        <f t="shared" si="7"/>
        <v>501693.60000000009</v>
      </c>
      <c r="H39" s="90">
        <f t="shared" si="7"/>
        <v>501693.60000000009</v>
      </c>
      <c r="I39" s="90">
        <f t="shared" si="7"/>
        <v>501693.60000000009</v>
      </c>
      <c r="J39" s="90">
        <f t="shared" si="7"/>
        <v>501693.60000000009</v>
      </c>
      <c r="K39" s="90">
        <f t="shared" si="7"/>
        <v>501693.60000000009</v>
      </c>
      <c r="L39" s="153">
        <f t="shared" si="7"/>
        <v>501693.60000000009</v>
      </c>
      <c r="M39" s="110">
        <f t="shared" si="7"/>
        <v>501693.60000000009</v>
      </c>
    </row>
    <row r="40" spans="1:13">
      <c r="A40" s="190"/>
      <c r="B40" s="104" t="s">
        <v>208</v>
      </c>
      <c r="C40" s="93">
        <f t="shared" si="4"/>
        <v>0</v>
      </c>
      <c r="D40" s="109">
        <f t="shared" ref="D40:M40" si="8">D11</f>
        <v>0</v>
      </c>
      <c r="E40" s="90">
        <f t="shared" si="8"/>
        <v>0</v>
      </c>
      <c r="F40" s="90">
        <f t="shared" si="8"/>
        <v>0</v>
      </c>
      <c r="G40" s="90">
        <f t="shared" si="8"/>
        <v>0</v>
      </c>
      <c r="H40" s="90">
        <f t="shared" si="8"/>
        <v>0</v>
      </c>
      <c r="I40" s="90">
        <f t="shared" si="8"/>
        <v>0</v>
      </c>
      <c r="J40" s="90">
        <f t="shared" si="8"/>
        <v>0</v>
      </c>
      <c r="K40" s="90">
        <f t="shared" si="8"/>
        <v>0</v>
      </c>
      <c r="L40" s="153">
        <f t="shared" si="8"/>
        <v>0</v>
      </c>
      <c r="M40" s="110">
        <f t="shared" si="8"/>
        <v>0</v>
      </c>
    </row>
    <row r="41" spans="1:13">
      <c r="A41" s="190"/>
      <c r="B41" s="104" t="s">
        <v>214</v>
      </c>
      <c r="C41" s="93">
        <f t="shared" si="4"/>
        <v>0</v>
      </c>
      <c r="D41" s="109">
        <f t="shared" ref="D41:M41" si="9">D12-D26</f>
        <v>0</v>
      </c>
      <c r="E41" s="90">
        <f t="shared" si="9"/>
        <v>0</v>
      </c>
      <c r="F41" s="90">
        <f t="shared" si="9"/>
        <v>0</v>
      </c>
      <c r="G41" s="90">
        <f t="shared" si="9"/>
        <v>0</v>
      </c>
      <c r="H41" s="90">
        <f t="shared" si="9"/>
        <v>0</v>
      </c>
      <c r="I41" s="90">
        <f t="shared" si="9"/>
        <v>0</v>
      </c>
      <c r="J41" s="90">
        <f t="shared" si="9"/>
        <v>0</v>
      </c>
      <c r="K41" s="90">
        <f t="shared" si="9"/>
        <v>0</v>
      </c>
      <c r="L41" s="153">
        <f t="shared" si="9"/>
        <v>0</v>
      </c>
      <c r="M41" s="110">
        <f t="shared" si="9"/>
        <v>0</v>
      </c>
    </row>
    <row r="42" spans="1:13">
      <c r="A42" s="190"/>
      <c r="B42" s="105" t="s">
        <v>215</v>
      </c>
      <c r="C42" s="94">
        <f t="shared" si="4"/>
        <v>-1000</v>
      </c>
      <c r="D42" s="109">
        <f t="shared" ref="D42:M42" si="10">D13-D27</f>
        <v>-100</v>
      </c>
      <c r="E42" s="90">
        <f t="shared" si="10"/>
        <v>-100</v>
      </c>
      <c r="F42" s="90">
        <f t="shared" si="10"/>
        <v>-100</v>
      </c>
      <c r="G42" s="90">
        <f t="shared" si="10"/>
        <v>-100</v>
      </c>
      <c r="H42" s="90">
        <f t="shared" si="10"/>
        <v>-100</v>
      </c>
      <c r="I42" s="90">
        <f t="shared" si="10"/>
        <v>-100</v>
      </c>
      <c r="J42" s="90">
        <f t="shared" si="10"/>
        <v>-100</v>
      </c>
      <c r="K42" s="90">
        <f t="shared" si="10"/>
        <v>-100</v>
      </c>
      <c r="L42" s="153">
        <f t="shared" si="10"/>
        <v>-100</v>
      </c>
      <c r="M42" s="110">
        <f t="shared" si="10"/>
        <v>-100</v>
      </c>
    </row>
    <row r="43" spans="1:13" ht="16" thickBot="1">
      <c r="A43" s="190"/>
      <c r="B43" s="104" t="s">
        <v>90</v>
      </c>
      <c r="C43" s="93">
        <f t="shared" si="4"/>
        <v>480007.29301075271</v>
      </c>
      <c r="D43" s="109">
        <f t="shared" ref="D43:M43" si="11">D14</f>
        <v>171431.17607526883</v>
      </c>
      <c r="E43" s="90">
        <f t="shared" si="11"/>
        <v>308576.11693548388</v>
      </c>
      <c r="F43" s="90">
        <f t="shared" si="11"/>
        <v>0</v>
      </c>
      <c r="G43" s="90">
        <f t="shared" si="11"/>
        <v>0</v>
      </c>
      <c r="H43" s="90">
        <f t="shared" si="11"/>
        <v>0</v>
      </c>
      <c r="I43" s="90">
        <f t="shared" si="11"/>
        <v>0</v>
      </c>
      <c r="J43" s="90">
        <f t="shared" si="11"/>
        <v>0</v>
      </c>
      <c r="K43" s="90">
        <f t="shared" si="11"/>
        <v>0</v>
      </c>
      <c r="L43" s="153">
        <f t="shared" si="11"/>
        <v>0</v>
      </c>
      <c r="M43" s="110">
        <f t="shared" si="11"/>
        <v>0</v>
      </c>
    </row>
    <row r="44" spans="1:13" ht="16" thickBot="1">
      <c r="A44" s="191"/>
      <c r="B44" s="89" t="s">
        <v>211</v>
      </c>
      <c r="C44" s="95">
        <f>SUM(D44:M44)</f>
        <v>12917875.84301075</v>
      </c>
      <c r="D44" s="91">
        <f>SUM(D36:D43)</f>
        <v>2879197.926075269</v>
      </c>
      <c r="E44" s="84">
        <f>SUM(E36:E43)</f>
        <v>3936225.1169354841</v>
      </c>
      <c r="F44" s="84">
        <f t="shared" ref="F44:M44" si="12">SUM(F36:F43)</f>
        <v>762806.60000000009</v>
      </c>
      <c r="G44" s="84">
        <f t="shared" si="12"/>
        <v>762806.60000000009</v>
      </c>
      <c r="H44" s="84">
        <f t="shared" si="12"/>
        <v>762806.60000000009</v>
      </c>
      <c r="I44" s="84">
        <f t="shared" si="12"/>
        <v>762806.60000000009</v>
      </c>
      <c r="J44" s="84">
        <f t="shared" si="12"/>
        <v>762806.60000000009</v>
      </c>
      <c r="K44" s="84">
        <f t="shared" si="12"/>
        <v>762806.60000000009</v>
      </c>
      <c r="L44" s="97">
        <f t="shared" si="12"/>
        <v>762806.60000000009</v>
      </c>
      <c r="M44" s="96">
        <f t="shared" si="12"/>
        <v>762806.60000000009</v>
      </c>
    </row>
  </sheetData>
  <mergeCells count="4">
    <mergeCell ref="D5:M5"/>
    <mergeCell ref="A18:C18"/>
    <mergeCell ref="D20:M20"/>
    <mergeCell ref="A32:C32"/>
  </mergeCells>
  <pageMargins left="0.7" right="0.7" top="0.75" bottom="0.75" header="0.3" footer="0.3"/>
  <pageSetup paperSize="9" scale="3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Úvod</vt:lpstr>
      <vt:lpstr>Zoznam hárkov</vt:lpstr>
      <vt:lpstr>Sumarizácia</vt:lpstr>
      <vt:lpstr>CBA - Agendové IS</vt:lpstr>
      <vt:lpstr>Analyza citlivosti - AgendovéIS</vt:lpstr>
      <vt:lpstr>Prínosy - Agendové IS</vt:lpstr>
      <vt:lpstr>Výdavky - Agendové IS</vt:lpstr>
      <vt:lpstr>Parametre - Agendové IS</vt:lpstr>
      <vt:lpstr>TCO</vt:lpstr>
      <vt:lpstr>TCO AS IS - SW</vt:lpstr>
      <vt:lpstr>TCO AS IS - HW</vt:lpstr>
      <vt:lpstr>TCO TO BE- SW</vt:lpstr>
      <vt:lpstr>TCO TO BE - HW</vt:lpstr>
      <vt:lpstr>Rozpočet - vývoj Aplikácií</vt:lpstr>
      <vt:lpstr>Rozpočet - HW a licencie</vt:lpstr>
      <vt:lpstr>BPM</vt:lpstr>
      <vt:lpstr>MDM 1lic-1rok</vt:lpstr>
      <vt:lpstr>Slepý rozpočet</vt:lpstr>
      <vt:lpstr>Faktory</vt:lpstr>
      <vt:lpstr>Procesné mapy</vt:lpstr>
      <vt:lpstr>Procesy - AS IS</vt:lpstr>
      <vt:lpstr>Procesy - TO BE</vt:lpstr>
      <vt:lpstr>Rozdelenie prínosov</vt:lpstr>
      <vt:lpstr>Sadzby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Krok Martin</dc:creator>
  <cp:keywords/>
  <dc:description/>
  <cp:lastModifiedBy>TB</cp:lastModifiedBy>
  <cp:revision/>
  <dcterms:created xsi:type="dcterms:W3CDTF">2015-01-29T13:50:20Z</dcterms:created>
  <dcterms:modified xsi:type="dcterms:W3CDTF">2019-04-15T19:55:14Z</dcterms:modified>
  <cp:category/>
  <cp:contentStatus/>
</cp:coreProperties>
</file>