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01"/>
  <workbookPr/>
  <mc:AlternateContent xmlns:mc="http://schemas.openxmlformats.org/markup-compatibility/2006">
    <mc:Choice Requires="x15">
      <x15ac:absPath xmlns:x15ac="http://schemas.microsoft.com/office/spreadsheetml/2010/11/ac" url="D:\work\svn_rho\MZSR\projekty\opii\OPE\su\"/>
    </mc:Choice>
  </mc:AlternateContent>
  <xr:revisionPtr revIDLastSave="0" documentId="13_ncr:1_{B5B9C8DC-85BD-41D0-A00F-857B45D59263}" xr6:coauthVersionLast="38" xr6:coauthVersionMax="38" xr10:uidLastSave="{00000000-0000-0000-0000-000000000000}"/>
  <bookViews>
    <workbookView xWindow="0" yWindow="435" windowWidth="27885" windowHeight="11640" tabRatio="730" firstSheet="1" activeTab="8" xr2:uid="{00000000-000D-0000-FFFF-FFFF00000000}"/>
  </bookViews>
  <sheets>
    <sheet name="Úvod" sheetId="5" r:id="rId1"/>
    <sheet name="Zoznam hárkov" sheetId="25" r:id="rId2"/>
    <sheet name="Sumarizácia" sheetId="20" r:id="rId3"/>
    <sheet name="CBA - Agendové IS" sheetId="2" r:id="rId4"/>
    <sheet name="Analyza citlivosti - AgendovéIS" sheetId="7" r:id="rId5"/>
    <sheet name="Prínosy - Agendové IS" sheetId="4" r:id="rId6"/>
    <sheet name="Výdavky - Agendové IS" sheetId="6" r:id="rId7"/>
    <sheet name="Parametre - Agendové IS" sheetId="3" r:id="rId8"/>
    <sheet name="TCO" sheetId="11" r:id="rId9"/>
    <sheet name="TCO Alt. 1 - SW" sheetId="17" r:id="rId10"/>
    <sheet name="TCO Alt. 1 - HW" sheetId="18" r:id="rId11"/>
    <sheet name="TCO Alt. 2 - SW" sheetId="29" r:id="rId12"/>
    <sheet name="TCO Alt. 2 - HW" sheetId="10" r:id="rId13"/>
    <sheet name="Indikativny rozpočet" sheetId="27" r:id="rId14"/>
    <sheet name="Aktivíty podľa Príručky" sheetId="28" r:id="rId15"/>
    <sheet name="Faktory" sheetId="1" r:id="rId16"/>
    <sheet name="Procesné mapy - AS IS" sheetId="35" r:id="rId17"/>
    <sheet name="Procesne mapy - TO BE" sheetId="40" r:id="rId18"/>
    <sheet name="Merania - PrZS" sheetId="45" r:id="rId19"/>
    <sheet name="Merania - KV" sheetId="51" r:id="rId20"/>
    <sheet name="Merania - PZS" sheetId="47" r:id="rId21"/>
    <sheet name="Merania - ZPR" sheetId="49" r:id="rId22"/>
    <sheet name="Detail - PrZS Novorodenec_CBA" sheetId="46" r:id="rId23"/>
    <sheet name="Detail - KV" sheetId="52" r:id="rId24"/>
    <sheet name="Detail - Registrácia a uk. PZS" sheetId="48" r:id="rId25"/>
    <sheet name="Detail - Registrácia a uk. ZPr" sheetId="50" r:id="rId26"/>
    <sheet name="Zdroje" sheetId="30" r:id="rId27"/>
    <sheet name="Počty transakcii" sheetId="41" r:id="rId28"/>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2" i="29" l="1"/>
  <c r="G62" i="29"/>
  <c r="G61" i="29" s="1"/>
  <c r="F61" i="29"/>
  <c r="F83" i="29"/>
  <c r="G83" i="29"/>
  <c r="E85" i="29" l="1"/>
  <c r="E86" i="29"/>
  <c r="E87" i="29"/>
  <c r="E88" i="29"/>
  <c r="E89" i="29"/>
  <c r="E90" i="29"/>
  <c r="E91" i="29"/>
  <c r="E92" i="29"/>
  <c r="E93" i="29"/>
  <c r="E84" i="29"/>
  <c r="G93" i="29"/>
  <c r="G92" i="29"/>
  <c r="G91" i="29"/>
  <c r="G90" i="29"/>
  <c r="G89" i="29"/>
  <c r="G88" i="29"/>
  <c r="G87" i="29"/>
  <c r="G86" i="29"/>
  <c r="G85" i="29"/>
  <c r="G84" i="29"/>
  <c r="K17" i="3" l="1"/>
  <c r="K18" i="3"/>
  <c r="K19" i="3"/>
  <c r="K20" i="3"/>
  <c r="K21" i="3"/>
  <c r="K22" i="3"/>
  <c r="K23" i="3"/>
  <c r="K24" i="3"/>
  <c r="K37" i="3"/>
  <c r="K38" i="3"/>
  <c r="K39" i="3"/>
  <c r="K40" i="3"/>
  <c r="K41" i="3"/>
  <c r="K42" i="3"/>
  <c r="K43" i="3"/>
  <c r="K44" i="3"/>
  <c r="H25" i="27" l="1"/>
  <c r="H19" i="27"/>
  <c r="G19" i="27" s="1"/>
  <c r="J36" i="3" l="1"/>
  <c r="J37" i="3"/>
  <c r="J38" i="3"/>
  <c r="J39" i="3"/>
  <c r="J40" i="3"/>
  <c r="J41" i="3"/>
  <c r="J42" i="3"/>
  <c r="J43" i="3"/>
  <c r="J44" i="3"/>
  <c r="J35" i="3"/>
  <c r="D51" i="1"/>
  <c r="J23" i="3" s="1"/>
  <c r="L23" i="3" s="1"/>
  <c r="D52" i="1"/>
  <c r="J6" i="3"/>
  <c r="J117" i="3" s="1"/>
  <c r="J7" i="3"/>
  <c r="J8" i="3"/>
  <c r="J9" i="3"/>
  <c r="J10" i="3"/>
  <c r="J121" i="3" s="1"/>
  <c r="J11" i="3"/>
  <c r="J12" i="3"/>
  <c r="J13" i="3"/>
  <c r="J74" i="3" s="1"/>
  <c r="J14" i="3"/>
  <c r="K14" i="3" s="1"/>
  <c r="K115" i="3" s="1"/>
  <c r="J5" i="3"/>
  <c r="J135" i="3"/>
  <c r="J134" i="3"/>
  <c r="J133" i="3"/>
  <c r="J132" i="3"/>
  <c r="J131" i="3"/>
  <c r="J130" i="3"/>
  <c r="J129" i="3"/>
  <c r="J128" i="3"/>
  <c r="J127" i="3"/>
  <c r="J126" i="3"/>
  <c r="L64" i="3"/>
  <c r="L63" i="3"/>
  <c r="L62" i="3"/>
  <c r="L61" i="3"/>
  <c r="L60" i="3"/>
  <c r="L59" i="3"/>
  <c r="L58" i="3"/>
  <c r="L57" i="3"/>
  <c r="L56" i="3"/>
  <c r="L55" i="3"/>
  <c r="L54" i="3"/>
  <c r="L53" i="3"/>
  <c r="L52" i="3"/>
  <c r="L51" i="3"/>
  <c r="L50" i="3"/>
  <c r="L49" i="3"/>
  <c r="L48" i="3"/>
  <c r="L47" i="3"/>
  <c r="L46" i="3"/>
  <c r="L45" i="3"/>
  <c r="L34" i="3"/>
  <c r="L33" i="3"/>
  <c r="L32" i="3"/>
  <c r="L31" i="3"/>
  <c r="L30" i="3"/>
  <c r="L29" i="3"/>
  <c r="L28" i="3"/>
  <c r="L27" i="3"/>
  <c r="L26" i="3"/>
  <c r="L25" i="3"/>
  <c r="K11" i="3"/>
  <c r="K10" i="3"/>
  <c r="L10" i="3" s="1"/>
  <c r="K7" i="3"/>
  <c r="K6" i="3"/>
  <c r="L6" i="3" s="1"/>
  <c r="M5" i="3"/>
  <c r="N5" i="3" s="1"/>
  <c r="M6" i="3"/>
  <c r="M67" i="3" s="1"/>
  <c r="N6" i="3"/>
  <c r="N117" i="3" s="1"/>
  <c r="M7" i="3"/>
  <c r="N7" i="3" s="1"/>
  <c r="M8" i="3"/>
  <c r="M69" i="3" s="1"/>
  <c r="N8" i="3"/>
  <c r="N109" i="3" s="1"/>
  <c r="M9" i="3"/>
  <c r="N9" i="3" s="1"/>
  <c r="M10" i="3"/>
  <c r="M71" i="3" s="1"/>
  <c r="N10" i="3"/>
  <c r="N111" i="3" s="1"/>
  <c r="M11" i="3"/>
  <c r="N11" i="3" s="1"/>
  <c r="M12" i="3"/>
  <c r="M73" i="3" s="1"/>
  <c r="M13" i="3"/>
  <c r="N13" i="3" s="1"/>
  <c r="M14" i="3"/>
  <c r="M75" i="3" s="1"/>
  <c r="N14" i="3"/>
  <c r="N115" i="3" s="1"/>
  <c r="N15" i="3"/>
  <c r="N16" i="3"/>
  <c r="M66" i="3"/>
  <c r="M76" i="3"/>
  <c r="M78" i="3"/>
  <c r="M81" i="3"/>
  <c r="M85" i="3"/>
  <c r="M86" i="3"/>
  <c r="M89" i="3"/>
  <c r="M90" i="3"/>
  <c r="M91" i="3"/>
  <c r="M95" i="3"/>
  <c r="M106" i="3"/>
  <c r="M109" i="3"/>
  <c r="M111" i="3"/>
  <c r="M113" i="3"/>
  <c r="M114" i="3"/>
  <c r="M116" i="3"/>
  <c r="M117" i="3"/>
  <c r="M119" i="3"/>
  <c r="M121" i="3"/>
  <c r="M125" i="3"/>
  <c r="M126" i="3"/>
  <c r="M127" i="3"/>
  <c r="M128" i="3"/>
  <c r="M129" i="3"/>
  <c r="M130" i="3"/>
  <c r="M131" i="3"/>
  <c r="M132" i="3"/>
  <c r="M133" i="3"/>
  <c r="M134" i="3"/>
  <c r="M135" i="3"/>
  <c r="D46" i="1"/>
  <c r="D48" i="1" s="1"/>
  <c r="D45" i="1"/>
  <c r="D47" i="1" s="1"/>
  <c r="F11" i="52"/>
  <c r="E11" i="52"/>
  <c r="D5" i="52"/>
  <c r="D11" i="52" s="1"/>
  <c r="F36" i="51"/>
  <c r="E36" i="51"/>
  <c r="D36" i="51"/>
  <c r="C36" i="51"/>
  <c r="F37" i="51" s="1"/>
  <c r="F35" i="51"/>
  <c r="F34" i="51"/>
  <c r="F33" i="51"/>
  <c r="F32" i="51"/>
  <c r="F31" i="51"/>
  <c r="F30" i="51"/>
  <c r="F29" i="51"/>
  <c r="F28" i="51"/>
  <c r="F27" i="51"/>
  <c r="F26" i="51"/>
  <c r="F25" i="51"/>
  <c r="F24" i="51"/>
  <c r="F23" i="51"/>
  <c r="F22" i="51"/>
  <c r="F21" i="51"/>
  <c r="F20" i="51"/>
  <c r="F19" i="51"/>
  <c r="F18" i="51"/>
  <c r="F17" i="51"/>
  <c r="F16" i="51"/>
  <c r="F15" i="51"/>
  <c r="F14" i="51"/>
  <c r="F13" i="51"/>
  <c r="F12" i="51"/>
  <c r="F11" i="51"/>
  <c r="F10" i="51"/>
  <c r="F9" i="51"/>
  <c r="F8" i="51"/>
  <c r="F7" i="51"/>
  <c r="F6" i="51"/>
  <c r="J19" i="3" l="1"/>
  <c r="L19" i="3" s="1"/>
  <c r="J22" i="3"/>
  <c r="L22" i="3" s="1"/>
  <c r="J16" i="3"/>
  <c r="K16" i="3" s="1"/>
  <c r="L16" i="3" s="1"/>
  <c r="J18" i="3"/>
  <c r="M123" i="3"/>
  <c r="M70" i="3"/>
  <c r="M115" i="3"/>
  <c r="M93" i="3"/>
  <c r="M87" i="3"/>
  <c r="J125" i="3"/>
  <c r="J113" i="3"/>
  <c r="J15" i="3"/>
  <c r="K15" i="3" s="1"/>
  <c r="L15" i="3" s="1"/>
  <c r="J21" i="3"/>
  <c r="L21" i="3" s="1"/>
  <c r="J17" i="3"/>
  <c r="J108" i="3" s="1"/>
  <c r="M83" i="3"/>
  <c r="M107" i="3"/>
  <c r="N12" i="3"/>
  <c r="N113" i="3" s="1"/>
  <c r="J24" i="3"/>
  <c r="L24" i="3" s="1"/>
  <c r="J20" i="3"/>
  <c r="L20" i="3" s="1"/>
  <c r="J110" i="3"/>
  <c r="K118" i="3"/>
  <c r="K88" i="3"/>
  <c r="L7" i="3"/>
  <c r="K108" i="3"/>
  <c r="K122" i="3"/>
  <c r="K92" i="3"/>
  <c r="L11" i="3"/>
  <c r="K112" i="3"/>
  <c r="J66" i="3"/>
  <c r="J70" i="3"/>
  <c r="K5" i="3"/>
  <c r="K9" i="3"/>
  <c r="K13" i="3"/>
  <c r="L14" i="3"/>
  <c r="J69" i="3"/>
  <c r="J73" i="3"/>
  <c r="J107" i="3"/>
  <c r="J119" i="3"/>
  <c r="J123" i="3"/>
  <c r="K91" i="3"/>
  <c r="K95" i="3"/>
  <c r="J116" i="3"/>
  <c r="J120" i="3"/>
  <c r="K121" i="3"/>
  <c r="L121" i="3" s="1"/>
  <c r="J124" i="3"/>
  <c r="K125" i="3"/>
  <c r="L125" i="3" s="1"/>
  <c r="K8" i="3"/>
  <c r="K12" i="3"/>
  <c r="J68" i="3"/>
  <c r="J72" i="3"/>
  <c r="K107" i="3"/>
  <c r="K111" i="3"/>
  <c r="J114" i="3"/>
  <c r="J118" i="3"/>
  <c r="J122" i="3"/>
  <c r="K117" i="3"/>
  <c r="L117" i="3" s="1"/>
  <c r="J67" i="3"/>
  <c r="J71" i="3"/>
  <c r="J75" i="3"/>
  <c r="N108" i="3"/>
  <c r="N88" i="3"/>
  <c r="N90" i="3"/>
  <c r="N110" i="3"/>
  <c r="N92" i="3"/>
  <c r="N112" i="3"/>
  <c r="N114" i="3"/>
  <c r="N94" i="3"/>
  <c r="M124" i="3"/>
  <c r="M110" i="3"/>
  <c r="M94" i="3"/>
  <c r="M74" i="3"/>
  <c r="M120" i="3"/>
  <c r="M108" i="3"/>
  <c r="M92" i="3"/>
  <c r="M82" i="3"/>
  <c r="M68" i="3"/>
  <c r="M122" i="3"/>
  <c r="M118" i="3"/>
  <c r="M112" i="3"/>
  <c r="M88" i="3"/>
  <c r="M84" i="3"/>
  <c r="M80" i="3"/>
  <c r="M72" i="3"/>
  <c r="N86" i="3"/>
  <c r="N116" i="3"/>
  <c r="N106" i="3"/>
  <c r="N107" i="3"/>
  <c r="N95" i="3"/>
  <c r="N93" i="3"/>
  <c r="N91" i="3"/>
  <c r="N89" i="3"/>
  <c r="N87" i="3"/>
  <c r="M79" i="3"/>
  <c r="M77" i="3"/>
  <c r="D32" i="1"/>
  <c r="D33" i="1" s="1"/>
  <c r="F37" i="49"/>
  <c r="E37" i="49"/>
  <c r="D37" i="49"/>
  <c r="C37" i="49"/>
  <c r="D37" i="47"/>
  <c r="C37" i="47"/>
  <c r="F37" i="47"/>
  <c r="E37" i="47"/>
  <c r="D30" i="1"/>
  <c r="E18" i="50"/>
  <c r="D18" i="50"/>
  <c r="F36" i="49"/>
  <c r="E36" i="49"/>
  <c r="D36" i="49"/>
  <c r="C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36" i="49" s="1"/>
  <c r="E18" i="48"/>
  <c r="D18" i="48"/>
  <c r="F36" i="47"/>
  <c r="E36" i="47"/>
  <c r="D36" i="47"/>
  <c r="C36" i="47"/>
  <c r="G37" i="47" s="1"/>
  <c r="G35" i="47"/>
  <c r="G34" i="47"/>
  <c r="G33" i="47"/>
  <c r="G32" i="47"/>
  <c r="G31" i="47"/>
  <c r="G30" i="47"/>
  <c r="G29" i="47"/>
  <c r="G28" i="47"/>
  <c r="G27" i="47"/>
  <c r="G26" i="47"/>
  <c r="G25" i="47"/>
  <c r="G24" i="47"/>
  <c r="G23" i="47"/>
  <c r="G22" i="47"/>
  <c r="G21" i="47"/>
  <c r="G20" i="47"/>
  <c r="G19" i="47"/>
  <c r="G18" i="47"/>
  <c r="G17" i="47"/>
  <c r="G16" i="47"/>
  <c r="G15" i="47"/>
  <c r="G14" i="47"/>
  <c r="G13" i="47"/>
  <c r="G12" i="47"/>
  <c r="G11" i="47"/>
  <c r="G10" i="47"/>
  <c r="G9" i="47"/>
  <c r="G8" i="47"/>
  <c r="G7" i="47"/>
  <c r="G6" i="47"/>
  <c r="G36" i="47" s="1"/>
  <c r="E45" i="46"/>
  <c r="D45" i="46"/>
  <c r="C45" i="46"/>
  <c r="J111" i="3" l="1"/>
  <c r="J115" i="3"/>
  <c r="L115" i="3" s="1"/>
  <c r="J112" i="3"/>
  <c r="L17" i="3"/>
  <c r="J109" i="3"/>
  <c r="L18" i="3"/>
  <c r="M46" i="3"/>
  <c r="N46" i="3" s="1"/>
  <c r="M45" i="3"/>
  <c r="N45" i="3" s="1"/>
  <c r="M48" i="3"/>
  <c r="M52" i="3"/>
  <c r="M47" i="3"/>
  <c r="M49" i="3"/>
  <c r="M51" i="3"/>
  <c r="M53" i="3"/>
  <c r="M50" i="3"/>
  <c r="M54" i="3"/>
  <c r="D31" i="1"/>
  <c r="L108" i="3"/>
  <c r="J106" i="3"/>
  <c r="L107" i="3"/>
  <c r="L8" i="3"/>
  <c r="K109" i="3"/>
  <c r="K119" i="3"/>
  <c r="L119" i="3" s="1"/>
  <c r="K89" i="3"/>
  <c r="K106" i="3"/>
  <c r="L5" i="3"/>
  <c r="K116" i="3"/>
  <c r="L116" i="3" s="1"/>
  <c r="L112" i="3"/>
  <c r="L122" i="3"/>
  <c r="L111" i="3"/>
  <c r="L118" i="3"/>
  <c r="K110" i="3"/>
  <c r="L110" i="3" s="1"/>
  <c r="L9" i="3"/>
  <c r="K120" i="3"/>
  <c r="L120" i="3" s="1"/>
  <c r="K90" i="3"/>
  <c r="L12" i="3"/>
  <c r="K123" i="3"/>
  <c r="L123" i="3" s="1"/>
  <c r="K93" i="3"/>
  <c r="K113" i="3"/>
  <c r="L113" i="3" s="1"/>
  <c r="K114" i="3"/>
  <c r="L114" i="3" s="1"/>
  <c r="L13" i="3"/>
  <c r="K124" i="3"/>
  <c r="L124" i="3" s="1"/>
  <c r="K94" i="3"/>
  <c r="G37" i="49"/>
  <c r="L106" i="3" l="1"/>
  <c r="L109" i="3"/>
  <c r="N48" i="3"/>
  <c r="N50" i="3"/>
  <c r="N52" i="3"/>
  <c r="N54" i="3"/>
  <c r="N49" i="3"/>
  <c r="N47" i="3"/>
  <c r="N51" i="3"/>
  <c r="N53" i="3"/>
  <c r="Q35" i="45"/>
  <c r="P35" i="45"/>
  <c r="O35" i="45"/>
  <c r="N35" i="45"/>
  <c r="M35" i="45"/>
  <c r="L35" i="45"/>
  <c r="K35" i="45"/>
  <c r="J35" i="45"/>
  <c r="I35" i="45"/>
  <c r="H35" i="45"/>
  <c r="G35" i="45"/>
  <c r="F35" i="45"/>
  <c r="E35" i="45"/>
  <c r="D35" i="45"/>
  <c r="C35" i="45"/>
  <c r="R36" i="45" s="1"/>
  <c r="D24" i="1" s="1"/>
  <c r="R34" i="45"/>
  <c r="R33" i="45"/>
  <c r="R32" i="45"/>
  <c r="R31" i="45"/>
  <c r="R30" i="45"/>
  <c r="R29" i="45"/>
  <c r="R28" i="45"/>
  <c r="R27" i="45"/>
  <c r="R26" i="45"/>
  <c r="R25" i="45"/>
  <c r="R24" i="45"/>
  <c r="R23" i="45"/>
  <c r="R22" i="45"/>
  <c r="R21" i="45"/>
  <c r="R20" i="45"/>
  <c r="R19" i="45"/>
  <c r="R18" i="45"/>
  <c r="R17" i="45"/>
  <c r="R16" i="45"/>
  <c r="R15" i="45"/>
  <c r="R14" i="45"/>
  <c r="R13" i="45"/>
  <c r="R12" i="45"/>
  <c r="R11" i="45"/>
  <c r="R10" i="45"/>
  <c r="R9" i="45"/>
  <c r="R8" i="45"/>
  <c r="R7" i="45"/>
  <c r="R35" i="45" s="1"/>
  <c r="D23" i="1" s="1"/>
  <c r="R6" i="45"/>
  <c r="R5" i="45"/>
  <c r="R4" i="45"/>
  <c r="D39" i="1" l="1"/>
  <c r="D38" i="1"/>
  <c r="D10" i="1"/>
  <c r="P45" i="3"/>
  <c r="Q45" i="3" s="1"/>
  <c r="P46" i="3"/>
  <c r="Q46" i="3" s="1"/>
  <c r="P47" i="3"/>
  <c r="Q47" i="3"/>
  <c r="P48" i="3"/>
  <c r="Q48" i="3"/>
  <c r="P49" i="3"/>
  <c r="Q49" i="3"/>
  <c r="P50" i="3"/>
  <c r="Q50" i="3"/>
  <c r="P51" i="3"/>
  <c r="Q51" i="3"/>
  <c r="P52" i="3"/>
  <c r="Q52" i="3"/>
  <c r="P53" i="3"/>
  <c r="Q53" i="3"/>
  <c r="P54" i="3"/>
  <c r="Q54" i="3"/>
  <c r="D35" i="1"/>
  <c r="G36" i="3"/>
  <c r="H36" i="3" s="1"/>
  <c r="G37" i="3"/>
  <c r="G38" i="3"/>
  <c r="G39" i="3"/>
  <c r="G40" i="3"/>
  <c r="G41" i="3"/>
  <c r="G42" i="3"/>
  <c r="G43" i="3"/>
  <c r="G44" i="3"/>
  <c r="G35" i="3"/>
  <c r="H35" i="3" s="1"/>
  <c r="G16" i="3"/>
  <c r="G17" i="3"/>
  <c r="G18" i="3"/>
  <c r="G19" i="3"/>
  <c r="G20" i="3"/>
  <c r="G21" i="3"/>
  <c r="G22" i="3"/>
  <c r="G23" i="3"/>
  <c r="G24" i="3"/>
  <c r="G15" i="3"/>
  <c r="P6" i="3"/>
  <c r="P7" i="3"/>
  <c r="P8" i="3"/>
  <c r="P9" i="3"/>
  <c r="P10" i="3"/>
  <c r="P11" i="3"/>
  <c r="P12" i="3"/>
  <c r="P13" i="3"/>
  <c r="P14" i="3"/>
  <c r="P5" i="3"/>
  <c r="G8" i="3"/>
  <c r="G9" i="3"/>
  <c r="G10" i="3"/>
  <c r="G11" i="3"/>
  <c r="G12" i="3"/>
  <c r="G13" i="3"/>
  <c r="G14" i="3"/>
  <c r="G7" i="3"/>
  <c r="G6" i="3"/>
  <c r="G5" i="3"/>
  <c r="F81" i="17"/>
  <c r="F82" i="17"/>
  <c r="F83" i="17"/>
  <c r="F84" i="17"/>
  <c r="F85" i="17"/>
  <c r="F86" i="17"/>
  <c r="F87" i="17"/>
  <c r="F88" i="17"/>
  <c r="F80" i="17"/>
  <c r="F79" i="17"/>
  <c r="L41" i="3" l="1"/>
  <c r="J82" i="3"/>
  <c r="J92" i="3"/>
  <c r="L92" i="3" s="1"/>
  <c r="L38" i="3"/>
  <c r="J79" i="3"/>
  <c r="J89" i="3"/>
  <c r="L89" i="3" s="1"/>
  <c r="K36" i="3"/>
  <c r="J77" i="3"/>
  <c r="J87" i="3"/>
  <c r="L42" i="3"/>
  <c r="J93" i="3"/>
  <c r="L93" i="3" s="1"/>
  <c r="J83" i="3"/>
  <c r="L39" i="3"/>
  <c r="J90" i="3"/>
  <c r="L90" i="3" s="1"/>
  <c r="J80" i="3"/>
  <c r="L37" i="3"/>
  <c r="J78" i="3"/>
  <c r="J88" i="3"/>
  <c r="L88" i="3" s="1"/>
  <c r="K35" i="3"/>
  <c r="J86" i="3"/>
  <c r="J76" i="3"/>
  <c r="L44" i="3"/>
  <c r="J95" i="3"/>
  <c r="L95" i="3" s="1"/>
  <c r="J85" i="3"/>
  <c r="L40" i="3"/>
  <c r="J81" i="3"/>
  <c r="J91" i="3"/>
  <c r="L91" i="3" s="1"/>
  <c r="L43" i="3"/>
  <c r="J84" i="3"/>
  <c r="J94" i="3"/>
  <c r="L94" i="3" s="1"/>
  <c r="E3" i="41"/>
  <c r="B3" i="41"/>
  <c r="C3" i="41"/>
  <c r="D3" i="41"/>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79" i="17"/>
  <c r="E59" i="17"/>
  <c r="E60" i="17"/>
  <c r="E61" i="17"/>
  <c r="E62" i="17"/>
  <c r="E63" i="17"/>
  <c r="E64" i="17"/>
  <c r="E65" i="17"/>
  <c r="E66" i="17"/>
  <c r="E67" i="17"/>
  <c r="E68" i="17"/>
  <c r="E69" i="17"/>
  <c r="E70" i="17"/>
  <c r="E71" i="17"/>
  <c r="E72" i="17"/>
  <c r="E73" i="17"/>
  <c r="E74" i="17"/>
  <c r="E75" i="17"/>
  <c r="E76" i="17"/>
  <c r="E77" i="17"/>
  <c r="E58" i="17"/>
  <c r="F78" i="17"/>
  <c r="F57" i="17"/>
  <c r="E37" i="17"/>
  <c r="E38" i="17"/>
  <c r="E39" i="17"/>
  <c r="E40" i="17"/>
  <c r="E41" i="17"/>
  <c r="E42" i="17"/>
  <c r="E43" i="17"/>
  <c r="E44" i="17"/>
  <c r="E45" i="17"/>
  <c r="E46" i="17"/>
  <c r="E47" i="17"/>
  <c r="E48" i="17"/>
  <c r="E49" i="17"/>
  <c r="E50" i="17"/>
  <c r="E51" i="17"/>
  <c r="E52" i="17"/>
  <c r="E53" i="17"/>
  <c r="E54" i="17"/>
  <c r="E55" i="17"/>
  <c r="E36" i="17"/>
  <c r="E28" i="17"/>
  <c r="E29" i="17"/>
  <c r="E30" i="17"/>
  <c r="E31" i="17"/>
  <c r="E32" i="17"/>
  <c r="E33" i="17"/>
  <c r="E34" i="17"/>
  <c r="E35" i="17"/>
  <c r="E27" i="17"/>
  <c r="E26" i="17"/>
  <c r="E16" i="17"/>
  <c r="E17" i="17"/>
  <c r="E18" i="17"/>
  <c r="E19" i="17"/>
  <c r="E20" i="17"/>
  <c r="E21" i="17"/>
  <c r="E22" i="17"/>
  <c r="E23" i="17"/>
  <c r="E24" i="17"/>
  <c r="E15" i="17"/>
  <c r="E6" i="17"/>
  <c r="E7" i="17"/>
  <c r="E8" i="17"/>
  <c r="E9" i="17"/>
  <c r="E10" i="17"/>
  <c r="E11" i="17"/>
  <c r="E12" i="17"/>
  <c r="E13" i="17"/>
  <c r="E14" i="17"/>
  <c r="E5" i="17"/>
  <c r="F25" i="17"/>
  <c r="F4" i="17"/>
  <c r="F3" i="17"/>
  <c r="L36" i="3" l="1"/>
  <c r="K87" i="3"/>
  <c r="L87" i="3" s="1"/>
  <c r="L35" i="3"/>
  <c r="K86" i="3"/>
  <c r="L86" i="3" s="1"/>
  <c r="F56" i="17"/>
  <c r="P27" i="29"/>
  <c r="P26" i="29"/>
  <c r="L27" i="29"/>
  <c r="L26" i="29"/>
  <c r="H27" i="29"/>
  <c r="H26" i="29"/>
  <c r="AB26" i="29"/>
  <c r="AA26" i="29"/>
  <c r="Z27" i="29"/>
  <c r="Y27" i="29"/>
  <c r="X27" i="29"/>
  <c r="W27" i="29"/>
  <c r="V27" i="29"/>
  <c r="U27" i="29"/>
  <c r="T27" i="29"/>
  <c r="R27" i="29"/>
  <c r="Q26" i="29"/>
  <c r="O26" i="29"/>
  <c r="N26" i="29"/>
  <c r="M26" i="29"/>
  <c r="K26" i="29"/>
  <c r="J26" i="29"/>
  <c r="I26" i="29"/>
  <c r="H116" i="27"/>
  <c r="J116" i="27" s="1"/>
  <c r="H115" i="27"/>
  <c r="G115" i="27" s="1"/>
  <c r="H114" i="27"/>
  <c r="G114" i="27" s="1"/>
  <c r="H113" i="27"/>
  <c r="J113" i="27" s="1"/>
  <c r="H111" i="27"/>
  <c r="J111" i="27" s="1"/>
  <c r="H110" i="27"/>
  <c r="G110" i="27" s="1"/>
  <c r="H109" i="27"/>
  <c r="G109" i="27" s="1"/>
  <c r="H108" i="27"/>
  <c r="J108" i="27" s="1"/>
  <c r="H106" i="27"/>
  <c r="J106" i="27" s="1"/>
  <c r="H105" i="27"/>
  <c r="J105" i="27" s="1"/>
  <c r="H104" i="27"/>
  <c r="G104" i="27" s="1"/>
  <c r="H103" i="27"/>
  <c r="J103" i="27" s="1"/>
  <c r="I122" i="27"/>
  <c r="H101" i="27"/>
  <c r="J101" i="27" s="1"/>
  <c r="H100" i="27"/>
  <c r="J100" i="27" s="1"/>
  <c r="H99" i="27"/>
  <c r="H98" i="27"/>
  <c r="J98" i="27" s="1"/>
  <c r="H96" i="27"/>
  <c r="J96" i="27" s="1"/>
  <c r="H95" i="27"/>
  <c r="J95" i="27" s="1"/>
  <c r="H94" i="27"/>
  <c r="H93" i="27"/>
  <c r="J93" i="27" s="1"/>
  <c r="H91" i="27"/>
  <c r="J91" i="27" s="1"/>
  <c r="G91" i="27"/>
  <c r="H90" i="27"/>
  <c r="G90" i="27" s="1"/>
  <c r="H89" i="27"/>
  <c r="G89" i="27" s="1"/>
  <c r="H88" i="27"/>
  <c r="J88" i="27" s="1"/>
  <c r="H86" i="27"/>
  <c r="J86" i="27" s="1"/>
  <c r="H85" i="27"/>
  <c r="H84" i="27"/>
  <c r="H83" i="27"/>
  <c r="J83" i="27" s="1"/>
  <c r="H81" i="27"/>
  <c r="J81" i="27" s="1"/>
  <c r="H80" i="27"/>
  <c r="J80" i="27" s="1"/>
  <c r="H79" i="27"/>
  <c r="H78" i="27"/>
  <c r="J78" i="27" s="1"/>
  <c r="H76" i="27"/>
  <c r="J76" i="27" s="1"/>
  <c r="H75" i="27"/>
  <c r="H74" i="27"/>
  <c r="H73" i="27"/>
  <c r="J73" i="27" s="1"/>
  <c r="H71" i="27"/>
  <c r="J71" i="27" s="1"/>
  <c r="H70" i="27"/>
  <c r="H69" i="27"/>
  <c r="H68" i="27"/>
  <c r="J68" i="27" s="1"/>
  <c r="H66" i="27"/>
  <c r="J66" i="27" s="1"/>
  <c r="H65" i="27"/>
  <c r="G65" i="27" s="1"/>
  <c r="H64" i="27"/>
  <c r="G64" i="27" s="1"/>
  <c r="H63" i="27"/>
  <c r="J63" i="27" s="1"/>
  <c r="H61" i="27"/>
  <c r="J61" i="27" s="1"/>
  <c r="H50" i="27"/>
  <c r="G50" i="27" s="1"/>
  <c r="H49" i="27"/>
  <c r="G49" i="27" s="1"/>
  <c r="H60" i="27"/>
  <c r="G60" i="27" s="1"/>
  <c r="H59" i="27"/>
  <c r="G59" i="27" s="1"/>
  <c r="H58" i="27"/>
  <c r="G58" i="27" s="1"/>
  <c r="H57" i="27"/>
  <c r="G57" i="27" s="1"/>
  <c r="H24" i="27"/>
  <c r="H23" i="27"/>
  <c r="H22" i="27"/>
  <c r="H20" i="27"/>
  <c r="G20" i="27" s="1"/>
  <c r="G105" i="27" l="1"/>
  <c r="J85" i="27"/>
  <c r="J75" i="27"/>
  <c r="J70" i="27"/>
  <c r="J90" i="27"/>
  <c r="G108" i="27"/>
  <c r="G111" i="27"/>
  <c r="G63" i="27"/>
  <c r="G66" i="27"/>
  <c r="G103" i="27"/>
  <c r="G113" i="27"/>
  <c r="J110" i="27"/>
  <c r="J115" i="27"/>
  <c r="G116" i="27"/>
  <c r="J65" i="27"/>
  <c r="G88" i="27"/>
  <c r="J114" i="27"/>
  <c r="J109" i="27"/>
  <c r="J104" i="27"/>
  <c r="G106" i="27"/>
  <c r="J99" i="27"/>
  <c r="J94" i="27"/>
  <c r="J89" i="27"/>
  <c r="J84" i="27"/>
  <c r="J79" i="27"/>
  <c r="J74" i="27"/>
  <c r="J69" i="27"/>
  <c r="J64" i="27"/>
  <c r="G61" i="27"/>
  <c r="J59" i="27"/>
  <c r="J58" i="27"/>
  <c r="J60" i="27"/>
  <c r="E3" i="30" l="1"/>
  <c r="E4" i="30"/>
  <c r="E5" i="30"/>
  <c r="E6" i="30"/>
  <c r="E7" i="30"/>
  <c r="E8" i="30"/>
  <c r="E9" i="30"/>
  <c r="E10" i="30"/>
  <c r="E11" i="30"/>
  <c r="E2" i="30"/>
  <c r="F11" i="30"/>
  <c r="F10" i="30"/>
  <c r="F9" i="30"/>
  <c r="F8" i="30"/>
  <c r="F7" i="30"/>
  <c r="F6" i="30"/>
  <c r="F5" i="30"/>
  <c r="F4" i="30"/>
  <c r="F3" i="30"/>
  <c r="F2" i="30"/>
  <c r="Q16" i="3" l="1"/>
  <c r="Q15" i="3"/>
  <c r="H16" i="3"/>
  <c r="H15" i="3"/>
  <c r="Q6" i="3" l="1"/>
  <c r="Q7" i="3"/>
  <c r="Q8" i="3"/>
  <c r="Q9" i="3"/>
  <c r="Q10" i="3"/>
  <c r="Q11" i="3"/>
  <c r="Q12" i="3"/>
  <c r="Q13" i="3"/>
  <c r="Q14" i="3"/>
  <c r="Q5" i="3"/>
  <c r="H6" i="3"/>
  <c r="H7" i="3"/>
  <c r="H8" i="3"/>
  <c r="H9" i="3"/>
  <c r="H10" i="3"/>
  <c r="H11" i="3"/>
  <c r="H12" i="3"/>
  <c r="H13" i="3"/>
  <c r="H14" i="3"/>
  <c r="H5" i="3"/>
  <c r="H55" i="27" l="1"/>
  <c r="H54" i="27"/>
  <c r="H53" i="27"/>
  <c r="H52" i="27"/>
  <c r="H48" i="27"/>
  <c r="H47" i="27"/>
  <c r="H45" i="27"/>
  <c r="H44" i="27"/>
  <c r="H43" i="27"/>
  <c r="H42" i="27"/>
  <c r="H40" i="27"/>
  <c r="H39" i="27"/>
  <c r="H38" i="27"/>
  <c r="H37" i="27"/>
  <c r="H35" i="27"/>
  <c r="H33" i="27"/>
  <c r="H32" i="27"/>
  <c r="G32" i="27" s="1"/>
  <c r="H31" i="27"/>
  <c r="H30" i="27"/>
  <c r="G30" i="27" s="1"/>
  <c r="H29" i="27"/>
  <c r="H27" i="27"/>
  <c r="H18" i="27"/>
  <c r="H17" i="27"/>
  <c r="H10" i="27"/>
  <c r="H8" i="27"/>
  <c r="H7" i="27"/>
  <c r="H6" i="27"/>
  <c r="H5" i="27"/>
  <c r="H3" i="27"/>
  <c r="D11" i="30"/>
  <c r="D10" i="30"/>
  <c r="D9" i="30"/>
  <c r="D8" i="30"/>
  <c r="D7" i="30"/>
  <c r="D6" i="30"/>
  <c r="D5" i="30"/>
  <c r="D4" i="30"/>
  <c r="D3" i="30"/>
  <c r="D2" i="30"/>
  <c r="P10" i="20" l="1"/>
  <c r="P12" i="20"/>
  <c r="P8" i="20"/>
  <c r="O12" i="20"/>
  <c r="O10" i="20"/>
  <c r="O8" i="20"/>
  <c r="S35" i="3"/>
  <c r="S45" i="3"/>
  <c r="S66" i="3"/>
  <c r="S126" i="3"/>
  <c r="F12" i="20"/>
  <c r="E12" i="20"/>
  <c r="D12" i="20"/>
  <c r="F8" i="20"/>
  <c r="F7" i="20"/>
  <c r="E8" i="20"/>
  <c r="E7" i="20"/>
  <c r="D7" i="20"/>
  <c r="D8" i="20"/>
  <c r="K133" i="3" l="1"/>
  <c r="L133" i="3" s="1"/>
  <c r="K131" i="3"/>
  <c r="L131" i="3" s="1"/>
  <c r="K126" i="3"/>
  <c r="L126" i="3" s="1"/>
  <c r="K129" i="3"/>
  <c r="L129" i="3" s="1"/>
  <c r="K127" i="3"/>
  <c r="L127" i="3" s="1"/>
  <c r="K134" i="3"/>
  <c r="L134" i="3" s="1"/>
  <c r="K132" i="3"/>
  <c r="L132" i="3" s="1"/>
  <c r="K135" i="3"/>
  <c r="L135" i="3" s="1"/>
  <c r="K130" i="3"/>
  <c r="L130" i="3" s="1"/>
  <c r="K128" i="3"/>
  <c r="L128" i="3" s="1"/>
  <c r="K67" i="3"/>
  <c r="K71" i="3"/>
  <c r="K68" i="3"/>
  <c r="K75" i="3"/>
  <c r="K72" i="3"/>
  <c r="K69" i="3"/>
  <c r="K66" i="3"/>
  <c r="K70" i="3"/>
  <c r="K74" i="3"/>
  <c r="K73" i="3"/>
  <c r="N68" i="3"/>
  <c r="N78" i="3" s="1"/>
  <c r="N72" i="3"/>
  <c r="N82" i="3" s="1"/>
  <c r="N70" i="3"/>
  <c r="N80" i="3" s="1"/>
  <c r="N66" i="3"/>
  <c r="N76" i="3" s="1"/>
  <c r="N74" i="3"/>
  <c r="N84" i="3" s="1"/>
  <c r="N67" i="3"/>
  <c r="N77" i="3" s="1"/>
  <c r="N71" i="3"/>
  <c r="N81" i="3" s="1"/>
  <c r="N69" i="3"/>
  <c r="N79" i="3" s="1"/>
  <c r="N75" i="3"/>
  <c r="N85" i="3" s="1"/>
  <c r="N73" i="3"/>
  <c r="N83" i="3" s="1"/>
  <c r="N128" i="3"/>
  <c r="N134" i="3"/>
  <c r="N126" i="3"/>
  <c r="N130" i="3"/>
  <c r="N132" i="3"/>
  <c r="N127" i="3"/>
  <c r="N133" i="3"/>
  <c r="N129" i="3"/>
  <c r="N131" i="3"/>
  <c r="N135" i="3"/>
  <c r="H129" i="3"/>
  <c r="H66" i="3"/>
  <c r="H76" i="3" s="1"/>
  <c r="Q134" i="3"/>
  <c r="Q130" i="3"/>
  <c r="Q129" i="3"/>
  <c r="Q133" i="3"/>
  <c r="Q132" i="3"/>
  <c r="Q128" i="3"/>
  <c r="Q135" i="3"/>
  <c r="Q131" i="3"/>
  <c r="Q127" i="3"/>
  <c r="Q126" i="3"/>
  <c r="H132" i="3"/>
  <c r="H135" i="3"/>
  <c r="H127" i="3"/>
  <c r="H134" i="3"/>
  <c r="H130" i="3"/>
  <c r="H126" i="3"/>
  <c r="H128" i="3"/>
  <c r="H131" i="3"/>
  <c r="H133" i="3"/>
  <c r="Q69" i="3"/>
  <c r="Q79" i="3" s="1"/>
  <c r="Q75" i="3"/>
  <c r="Q85" i="3" s="1"/>
  <c r="Q73" i="3"/>
  <c r="Q83" i="3" s="1"/>
  <c r="Q71" i="3"/>
  <c r="Q81" i="3" s="1"/>
  <c r="Q67" i="3"/>
  <c r="Q77" i="3" s="1"/>
  <c r="Q74" i="3"/>
  <c r="Q84" i="3" s="1"/>
  <c r="Q70" i="3"/>
  <c r="Q80" i="3" s="1"/>
  <c r="Q72" i="3"/>
  <c r="Q82" i="3" s="1"/>
  <c r="Q68" i="3"/>
  <c r="Q78" i="3" s="1"/>
  <c r="Q66" i="3"/>
  <c r="Q76" i="3" s="1"/>
  <c r="H74" i="3"/>
  <c r="H84" i="3" s="1"/>
  <c r="H70" i="3"/>
  <c r="H80" i="3" s="1"/>
  <c r="H73" i="3"/>
  <c r="H83" i="3" s="1"/>
  <c r="H69" i="3"/>
  <c r="H79" i="3" s="1"/>
  <c r="H72" i="3"/>
  <c r="H82" i="3" s="1"/>
  <c r="H68" i="3"/>
  <c r="H78" i="3" s="1"/>
  <c r="H75" i="3"/>
  <c r="H85" i="3" s="1"/>
  <c r="H71" i="3"/>
  <c r="H81" i="3" s="1"/>
  <c r="H67" i="3"/>
  <c r="H77" i="3" s="1"/>
  <c r="K80" i="3" l="1"/>
  <c r="L80" i="3" s="1"/>
  <c r="L70" i="3"/>
  <c r="K100" i="3" s="1"/>
  <c r="L100" i="3" s="1"/>
  <c r="K85" i="3"/>
  <c r="L85" i="3" s="1"/>
  <c r="L75" i="3"/>
  <c r="K105" i="3" s="1"/>
  <c r="L105" i="3" s="1"/>
  <c r="K76" i="3"/>
  <c r="L76" i="3" s="1"/>
  <c r="L66" i="3"/>
  <c r="K96" i="3" s="1"/>
  <c r="L96" i="3" s="1"/>
  <c r="K78" i="3"/>
  <c r="L78" i="3" s="1"/>
  <c r="L68" i="3"/>
  <c r="K98" i="3" s="1"/>
  <c r="L98" i="3" s="1"/>
  <c r="L73" i="3"/>
  <c r="K103" i="3" s="1"/>
  <c r="L103" i="3" s="1"/>
  <c r="K83" i="3"/>
  <c r="L83" i="3" s="1"/>
  <c r="L69" i="3"/>
  <c r="K99" i="3" s="1"/>
  <c r="L99" i="3" s="1"/>
  <c r="K79" i="3"/>
  <c r="L79" i="3" s="1"/>
  <c r="L71" i="3"/>
  <c r="K101" i="3" s="1"/>
  <c r="L101" i="3" s="1"/>
  <c r="K81" i="3"/>
  <c r="L81" i="3" s="1"/>
  <c r="K84" i="3"/>
  <c r="L84" i="3" s="1"/>
  <c r="L74" i="3"/>
  <c r="K104" i="3" s="1"/>
  <c r="L104" i="3" s="1"/>
  <c r="K82" i="3"/>
  <c r="L82" i="3" s="1"/>
  <c r="L72" i="3"/>
  <c r="K102" i="3" s="1"/>
  <c r="L102" i="3" s="1"/>
  <c r="K77" i="3"/>
  <c r="L77" i="3" s="1"/>
  <c r="L67" i="3"/>
  <c r="K97" i="3" s="1"/>
  <c r="L97" i="3" s="1"/>
  <c r="E26" i="10"/>
  <c r="E27" i="10"/>
  <c r="E28" i="10"/>
  <c r="E29" i="10"/>
  <c r="E30" i="10"/>
  <c r="E31" i="10"/>
  <c r="E32" i="10"/>
  <c r="E33" i="10"/>
  <c r="E25" i="10"/>
  <c r="E24" i="10"/>
  <c r="E16" i="10"/>
  <c r="E17" i="10"/>
  <c r="E18" i="10"/>
  <c r="E19" i="10"/>
  <c r="E20" i="10"/>
  <c r="E21" i="10"/>
  <c r="E22" i="10"/>
  <c r="E23" i="10"/>
  <c r="E15" i="10"/>
  <c r="E14" i="10"/>
  <c r="E5" i="10"/>
  <c r="E6" i="10"/>
  <c r="E7" i="10"/>
  <c r="E8" i="10"/>
  <c r="E9" i="10"/>
  <c r="E10" i="10"/>
  <c r="E11" i="10"/>
  <c r="E12" i="10"/>
  <c r="E13" i="10"/>
  <c r="E4" i="10"/>
  <c r="AC60" i="29"/>
  <c r="AC59" i="29"/>
  <c r="AC58" i="29"/>
  <c r="AC57" i="29"/>
  <c r="AC56" i="29"/>
  <c r="E133" i="29"/>
  <c r="E132" i="29"/>
  <c r="E131" i="29"/>
  <c r="E130" i="29"/>
  <c r="E129" i="29"/>
  <c r="E128" i="29"/>
  <c r="E127" i="29"/>
  <c r="E126" i="29"/>
  <c r="E125" i="29"/>
  <c r="E124" i="29"/>
  <c r="E113" i="29"/>
  <c r="E112" i="29"/>
  <c r="E111" i="29"/>
  <c r="E110" i="29"/>
  <c r="E109" i="29"/>
  <c r="E108" i="29"/>
  <c r="E107" i="29"/>
  <c r="E106" i="29"/>
  <c r="E105" i="29"/>
  <c r="E104" i="29"/>
  <c r="E103" i="29"/>
  <c r="E102" i="29"/>
  <c r="E101" i="29"/>
  <c r="E100" i="29"/>
  <c r="E99" i="29"/>
  <c r="E98" i="29"/>
  <c r="E97" i="29"/>
  <c r="E96" i="29"/>
  <c r="E95" i="29"/>
  <c r="E94" i="29"/>
  <c r="E82" i="29"/>
  <c r="E81" i="29"/>
  <c r="E80" i="29"/>
  <c r="E79" i="29"/>
  <c r="E78" i="29"/>
  <c r="E77" i="29"/>
  <c r="E76" i="29"/>
  <c r="E75" i="29"/>
  <c r="E74" i="29"/>
  <c r="E73" i="29"/>
  <c r="E64" i="29"/>
  <c r="E63" i="29"/>
  <c r="AB62" i="29"/>
  <c r="AA62" i="29"/>
  <c r="Z62" i="29"/>
  <c r="Y62" i="29"/>
  <c r="X62" i="29"/>
  <c r="W62" i="29"/>
  <c r="V62" i="29"/>
  <c r="U62" i="29"/>
  <c r="T62" i="29"/>
  <c r="S62" i="29"/>
  <c r="R62" i="29"/>
  <c r="Q62" i="29"/>
  <c r="P62" i="29"/>
  <c r="O62" i="29"/>
  <c r="N62" i="29"/>
  <c r="L62" i="29"/>
  <c r="K62" i="29"/>
  <c r="J62" i="29"/>
  <c r="I62" i="29"/>
  <c r="H62" i="29"/>
  <c r="E55" i="29"/>
  <c r="E54" i="29"/>
  <c r="E53" i="29"/>
  <c r="E52" i="29"/>
  <c r="E51" i="29"/>
  <c r="E50" i="29"/>
  <c r="E49" i="29"/>
  <c r="E48" i="29"/>
  <c r="E47" i="29"/>
  <c r="E45" i="29"/>
  <c r="E44" i="29"/>
  <c r="E43" i="29"/>
  <c r="E42" i="29"/>
  <c r="E41" i="29"/>
  <c r="E40" i="29"/>
  <c r="E39" i="29"/>
  <c r="E38" i="29"/>
  <c r="E37" i="29"/>
  <c r="E36" i="29"/>
  <c r="E35" i="29"/>
  <c r="E34" i="29"/>
  <c r="E33" i="29"/>
  <c r="E32" i="29"/>
  <c r="E31" i="29"/>
  <c r="E30" i="29"/>
  <c r="E29" i="29"/>
  <c r="E28" i="29"/>
  <c r="E27" i="29"/>
  <c r="E24" i="29"/>
  <c r="E23" i="29"/>
  <c r="E22" i="29"/>
  <c r="E21" i="29"/>
  <c r="E20" i="29"/>
  <c r="E19" i="29"/>
  <c r="E18" i="29"/>
  <c r="E17" i="29"/>
  <c r="F7" i="11" s="1"/>
  <c r="E16" i="29"/>
  <c r="E15" i="29"/>
  <c r="E14" i="29"/>
  <c r="E13" i="29"/>
  <c r="L7" i="11" s="1"/>
  <c r="E12" i="29"/>
  <c r="E11" i="29"/>
  <c r="E10" i="29"/>
  <c r="E9" i="29"/>
  <c r="H7" i="11" s="1"/>
  <c r="E8" i="29"/>
  <c r="E7" i="29"/>
  <c r="E6" i="29"/>
  <c r="E5" i="29"/>
  <c r="D7" i="11" s="1"/>
  <c r="AB4" i="29"/>
  <c r="AA4" i="29"/>
  <c r="Z4" i="29"/>
  <c r="Y4" i="29"/>
  <c r="X4" i="29"/>
  <c r="W4" i="29"/>
  <c r="V4" i="29"/>
  <c r="U4" i="29"/>
  <c r="T4" i="29"/>
  <c r="S4" i="29"/>
  <c r="R4" i="29"/>
  <c r="Q4" i="29"/>
  <c r="P4" i="29"/>
  <c r="O4" i="29"/>
  <c r="N4" i="29"/>
  <c r="M4" i="29"/>
  <c r="L4" i="29"/>
  <c r="K4" i="29"/>
  <c r="P7" i="20" s="1"/>
  <c r="J4" i="29"/>
  <c r="I4" i="29"/>
  <c r="O7" i="20" s="1"/>
  <c r="H4" i="29"/>
  <c r="J57" i="27"/>
  <c r="G55" i="27"/>
  <c r="G54" i="27"/>
  <c r="J53" i="27"/>
  <c r="G53" i="27"/>
  <c r="J52" i="27"/>
  <c r="J50" i="27"/>
  <c r="G48" i="27"/>
  <c r="J47" i="27"/>
  <c r="G47" i="27"/>
  <c r="J45" i="27"/>
  <c r="J44" i="27"/>
  <c r="G44" i="27"/>
  <c r="G43" i="27"/>
  <c r="G42" i="27"/>
  <c r="J40" i="27"/>
  <c r="J39" i="27"/>
  <c r="G39" i="27"/>
  <c r="G38" i="27"/>
  <c r="J37" i="27"/>
  <c r="G37" i="27"/>
  <c r="J35" i="27"/>
  <c r="J33" i="27"/>
  <c r="G33" i="27"/>
  <c r="G31" i="27"/>
  <c r="J30" i="27"/>
  <c r="J29" i="27"/>
  <c r="G29" i="27"/>
  <c r="G27" i="27"/>
  <c r="J25" i="27"/>
  <c r="J20" i="27"/>
  <c r="G18" i="27"/>
  <c r="G17" i="27"/>
  <c r="J15" i="27"/>
  <c r="J14" i="27"/>
  <c r="J13" i="27"/>
  <c r="J12" i="27"/>
  <c r="J10" i="27"/>
  <c r="G10" i="27"/>
  <c r="G8" i="27"/>
  <c r="J7" i="27"/>
  <c r="G7" i="27"/>
  <c r="J6" i="27"/>
  <c r="J5" i="27"/>
  <c r="G5" i="27"/>
  <c r="G3" i="27"/>
  <c r="E8" i="11" l="1"/>
  <c r="D8" i="11"/>
  <c r="G9" i="11"/>
  <c r="G7" i="11"/>
  <c r="K7" i="11"/>
  <c r="E7" i="11"/>
  <c r="I7" i="11"/>
  <c r="M7" i="11"/>
  <c r="J7" i="11"/>
  <c r="J55" i="27"/>
  <c r="J17" i="27"/>
  <c r="J31" i="27"/>
  <c r="J42" i="27"/>
  <c r="F9" i="11"/>
  <c r="H9" i="11"/>
  <c r="L9" i="11"/>
  <c r="I9" i="11"/>
  <c r="M9" i="11"/>
  <c r="K9" i="11"/>
  <c r="J9" i="11"/>
  <c r="E4" i="29"/>
  <c r="E71" i="29"/>
  <c r="L8" i="11" s="1"/>
  <c r="E69" i="29"/>
  <c r="J8" i="11" s="1"/>
  <c r="E67" i="29"/>
  <c r="H8" i="11" s="1"/>
  <c r="E72" i="29"/>
  <c r="M8" i="11" s="1"/>
  <c r="E70" i="29"/>
  <c r="K8" i="11" s="1"/>
  <c r="E68" i="29"/>
  <c r="I8" i="11" s="1"/>
  <c r="E66" i="29"/>
  <c r="G8" i="11" s="1"/>
  <c r="E26" i="29"/>
  <c r="T59" i="29" s="1"/>
  <c r="J3" i="27"/>
  <c r="G6" i="27"/>
  <c r="J8" i="27"/>
  <c r="J18" i="27"/>
  <c r="J27" i="27"/>
  <c r="J32" i="27"/>
  <c r="G35" i="27"/>
  <c r="J38" i="27"/>
  <c r="G40" i="27"/>
  <c r="J43" i="27"/>
  <c r="G45" i="27"/>
  <c r="J48" i="27"/>
  <c r="G52" i="27"/>
  <c r="J54" i="27"/>
  <c r="M59" i="29" l="1"/>
  <c r="W59" i="29"/>
  <c r="O60" i="29"/>
  <c r="P58" i="29"/>
  <c r="T60" i="29"/>
  <c r="X56" i="29"/>
  <c r="T57" i="29"/>
  <c r="H56" i="29"/>
  <c r="Z60" i="29"/>
  <c r="Y60" i="29"/>
  <c r="I60" i="29"/>
  <c r="R60" i="29"/>
  <c r="Z59" i="29"/>
  <c r="I59" i="29"/>
  <c r="Q58" i="29"/>
  <c r="Q57" i="29"/>
  <c r="Q56" i="29"/>
  <c r="V60" i="29"/>
  <c r="V59" i="29"/>
  <c r="K59" i="29"/>
  <c r="AA58" i="29"/>
  <c r="W58" i="29"/>
  <c r="S58" i="29"/>
  <c r="O58" i="29"/>
  <c r="K58" i="29"/>
  <c r="AA57" i="29"/>
  <c r="W57" i="29"/>
  <c r="S57" i="29"/>
  <c r="O57" i="29"/>
  <c r="K57" i="29"/>
  <c r="P11" i="20" s="1"/>
  <c r="AA56" i="29"/>
  <c r="W56" i="29"/>
  <c r="S56" i="29"/>
  <c r="O56" i="29"/>
  <c r="K56" i="29"/>
  <c r="S59" i="29"/>
  <c r="I58" i="29"/>
  <c r="I57" i="29"/>
  <c r="O11" i="20" s="1"/>
  <c r="M60" i="29"/>
  <c r="Z58" i="29"/>
  <c r="V58" i="29"/>
  <c r="R58" i="29"/>
  <c r="J58" i="29"/>
  <c r="Z57" i="29"/>
  <c r="V57" i="29"/>
  <c r="R57" i="29"/>
  <c r="J57" i="29"/>
  <c r="Z56" i="29"/>
  <c r="V56" i="29"/>
  <c r="R56" i="29"/>
  <c r="J56" i="29"/>
  <c r="J60" i="29"/>
  <c r="N59" i="29"/>
  <c r="Y58" i="29"/>
  <c r="M58" i="29"/>
  <c r="Y57" i="29"/>
  <c r="M57" i="29"/>
  <c r="Y56" i="29"/>
  <c r="I56" i="29"/>
  <c r="J46" i="29"/>
  <c r="R46" i="29"/>
  <c r="N46" i="29"/>
  <c r="M56" i="29"/>
  <c r="Z46" i="29"/>
  <c r="W46" i="29"/>
  <c r="U60" i="29"/>
  <c r="P60" i="29"/>
  <c r="AA60" i="29"/>
  <c r="K60" i="29"/>
  <c r="H59" i="29"/>
  <c r="L58" i="29"/>
  <c r="X59" i="29"/>
  <c r="AB60" i="29"/>
  <c r="AB57" i="29"/>
  <c r="K46" i="29"/>
  <c r="F6" i="20" s="1"/>
  <c r="AA46" i="29"/>
  <c r="T46" i="29"/>
  <c r="M46" i="29"/>
  <c r="U56" i="29"/>
  <c r="L60" i="29"/>
  <c r="W60" i="29"/>
  <c r="Y59" i="29"/>
  <c r="X58" i="29"/>
  <c r="H58" i="29"/>
  <c r="L57" i="29"/>
  <c r="P56" i="29"/>
  <c r="L59" i="29"/>
  <c r="AB59" i="29"/>
  <c r="U59" i="29"/>
  <c r="N57" i="29"/>
  <c r="M62" i="29"/>
  <c r="E65" i="29"/>
  <c r="Q60" i="29"/>
  <c r="O46" i="29"/>
  <c r="H46" i="29"/>
  <c r="D6" i="20" s="1"/>
  <c r="X46" i="29"/>
  <c r="Q46" i="29"/>
  <c r="U57" i="29"/>
  <c r="J59" i="29"/>
  <c r="V46" i="29"/>
  <c r="AB56" i="29"/>
  <c r="P46" i="29"/>
  <c r="I46" i="29"/>
  <c r="E6" i="20" s="1"/>
  <c r="Y46" i="29"/>
  <c r="P57" i="29"/>
  <c r="T56" i="29"/>
  <c r="AA59" i="29"/>
  <c r="N58" i="29"/>
  <c r="X60" i="29"/>
  <c r="H60" i="29"/>
  <c r="S60" i="29"/>
  <c r="R59" i="29"/>
  <c r="T58" i="29"/>
  <c r="X57" i="29"/>
  <c r="H57" i="29"/>
  <c r="L56" i="29"/>
  <c r="P59" i="29"/>
  <c r="Q59" i="29"/>
  <c r="O59" i="29"/>
  <c r="N56" i="29"/>
  <c r="AB58" i="29"/>
  <c r="N60" i="29"/>
  <c r="S46" i="29"/>
  <c r="L46" i="29"/>
  <c r="AB46" i="29"/>
  <c r="U46" i="29"/>
  <c r="U58" i="29"/>
  <c r="AB25" i="29" l="1"/>
  <c r="AB3" i="29" s="1"/>
  <c r="AB90" i="29" s="1"/>
  <c r="E62" i="29"/>
  <c r="F8" i="11"/>
  <c r="K25" i="29"/>
  <c r="O25" i="29"/>
  <c r="O3" i="29" s="1"/>
  <c r="E56" i="29"/>
  <c r="Q25" i="29"/>
  <c r="Q3" i="29" s="1"/>
  <c r="L25" i="29"/>
  <c r="L3" i="29" s="1"/>
  <c r="Y25" i="29"/>
  <c r="Y3" i="29" s="1"/>
  <c r="V25" i="29"/>
  <c r="V3" i="29" s="1"/>
  <c r="M25" i="29"/>
  <c r="M3" i="29" s="1"/>
  <c r="E59" i="29"/>
  <c r="N25" i="29"/>
  <c r="N3" i="29" s="1"/>
  <c r="S25" i="29"/>
  <c r="S3" i="29" s="1"/>
  <c r="E57" i="29"/>
  <c r="I25" i="29"/>
  <c r="X25" i="29"/>
  <c r="X3" i="29" s="1"/>
  <c r="E58" i="29"/>
  <c r="T25" i="29"/>
  <c r="T3" i="29" s="1"/>
  <c r="W25" i="29"/>
  <c r="W3" i="29" s="1"/>
  <c r="R25" i="29"/>
  <c r="R3" i="29" s="1"/>
  <c r="U25" i="29"/>
  <c r="U3" i="29" s="1"/>
  <c r="E60" i="29"/>
  <c r="P25" i="29"/>
  <c r="P3" i="29" s="1"/>
  <c r="H25" i="29"/>
  <c r="E46" i="29"/>
  <c r="AA25" i="29"/>
  <c r="AA3" i="29" s="1"/>
  <c r="Z25" i="29"/>
  <c r="Z3" i="29" s="1"/>
  <c r="J25" i="29"/>
  <c r="F2" i="20"/>
  <c r="P2" i="20" s="1"/>
  <c r="E2" i="20"/>
  <c r="O2" i="20" s="1"/>
  <c r="D2" i="20"/>
  <c r="N2" i="20" s="1"/>
  <c r="AB87" i="29" l="1"/>
  <c r="AB86" i="29"/>
  <c r="AB91" i="29"/>
  <c r="AB93" i="29"/>
  <c r="AB92" i="29"/>
  <c r="AB89" i="29"/>
  <c r="AB88" i="29"/>
  <c r="I3" i="29"/>
  <c r="I89" i="29" s="1"/>
  <c r="O6" i="20"/>
  <c r="K3" i="29"/>
  <c r="K90" i="29" s="1"/>
  <c r="P6" i="20"/>
  <c r="J3" i="29"/>
  <c r="J93" i="29" s="1"/>
  <c r="H3" i="29"/>
  <c r="H89" i="29" s="1"/>
  <c r="P89" i="29"/>
  <c r="P93" i="29"/>
  <c r="P86" i="29"/>
  <c r="P87" i="29"/>
  <c r="P91" i="29"/>
  <c r="P90" i="29"/>
  <c r="P92" i="29"/>
  <c r="P88" i="29"/>
  <c r="L89" i="29"/>
  <c r="L93" i="29"/>
  <c r="L86" i="29"/>
  <c r="L87" i="29"/>
  <c r="L91" i="29"/>
  <c r="L90" i="29"/>
  <c r="L92" i="29"/>
  <c r="L88" i="29"/>
  <c r="AA87" i="29"/>
  <c r="AA91" i="29"/>
  <c r="AA89" i="29"/>
  <c r="AA93" i="29"/>
  <c r="AA88" i="29"/>
  <c r="AA92" i="29"/>
  <c r="AA86" i="29"/>
  <c r="AA90" i="29"/>
  <c r="T90" i="29"/>
  <c r="T86" i="29"/>
  <c r="T88" i="29"/>
  <c r="T92" i="29"/>
  <c r="T87" i="29"/>
  <c r="T91" i="29"/>
  <c r="T93" i="29"/>
  <c r="T89" i="29"/>
  <c r="M88" i="29"/>
  <c r="M92" i="29"/>
  <c r="M90" i="29"/>
  <c r="M89" i="29"/>
  <c r="M93" i="29"/>
  <c r="M86" i="29"/>
  <c r="M87" i="29"/>
  <c r="M91" i="29"/>
  <c r="Q88" i="29"/>
  <c r="Q92" i="29"/>
  <c r="Q90" i="29"/>
  <c r="Q89" i="29"/>
  <c r="Q93" i="29"/>
  <c r="Q86" i="29"/>
  <c r="Q87" i="29"/>
  <c r="Q91" i="29"/>
  <c r="W87" i="29"/>
  <c r="W91" i="29"/>
  <c r="W89" i="29"/>
  <c r="W93" i="29"/>
  <c r="W88" i="29"/>
  <c r="W92" i="29"/>
  <c r="W86" i="29"/>
  <c r="W90" i="29"/>
  <c r="D9" i="11"/>
  <c r="U89" i="29"/>
  <c r="U93" i="29"/>
  <c r="U87" i="29"/>
  <c r="U91" i="29"/>
  <c r="U90" i="29"/>
  <c r="U86" i="29"/>
  <c r="U88" i="29"/>
  <c r="U92" i="29"/>
  <c r="V88" i="29"/>
  <c r="V92" i="29"/>
  <c r="V90" i="29"/>
  <c r="V86" i="29"/>
  <c r="V89" i="29"/>
  <c r="V93" i="29"/>
  <c r="V91" i="29"/>
  <c r="V87" i="29"/>
  <c r="E9" i="11"/>
  <c r="Z88" i="29"/>
  <c r="Z92" i="29"/>
  <c r="Z90" i="29"/>
  <c r="Z86" i="29"/>
  <c r="Z89" i="29"/>
  <c r="Z93" i="29"/>
  <c r="Z91" i="29"/>
  <c r="Z87" i="29"/>
  <c r="R87" i="29"/>
  <c r="R91" i="29"/>
  <c r="R89" i="29"/>
  <c r="R93" i="29"/>
  <c r="R86" i="29"/>
  <c r="R88" i="29"/>
  <c r="R92" i="29"/>
  <c r="R90" i="29"/>
  <c r="X90" i="29"/>
  <c r="X86" i="29"/>
  <c r="X88" i="29"/>
  <c r="X92" i="29"/>
  <c r="X87" i="29"/>
  <c r="X91" i="29"/>
  <c r="X93" i="29"/>
  <c r="X89" i="29"/>
  <c r="N87" i="29"/>
  <c r="N91" i="29"/>
  <c r="N89" i="29"/>
  <c r="N93" i="29"/>
  <c r="N86" i="29"/>
  <c r="N88" i="29"/>
  <c r="N92" i="29"/>
  <c r="N90" i="29"/>
  <c r="Y89" i="29"/>
  <c r="Y93" i="29"/>
  <c r="Y87" i="29"/>
  <c r="Y91" i="29"/>
  <c r="Y90" i="29"/>
  <c r="Y86" i="29"/>
  <c r="Y88" i="29"/>
  <c r="Y92" i="29"/>
  <c r="O90" i="29"/>
  <c r="O88" i="29"/>
  <c r="O92" i="29"/>
  <c r="O87" i="29"/>
  <c r="O91" i="29"/>
  <c r="O89" i="29"/>
  <c r="O93" i="29"/>
  <c r="O86" i="29"/>
  <c r="E25" i="29"/>
  <c r="E3" i="29" s="1"/>
  <c r="Q95" i="3"/>
  <c r="P95" i="3"/>
  <c r="Q94" i="3"/>
  <c r="P94" i="3"/>
  <c r="Q93" i="3"/>
  <c r="P93" i="3"/>
  <c r="Q92" i="3"/>
  <c r="P92" i="3"/>
  <c r="Q91" i="3"/>
  <c r="P91" i="3"/>
  <c r="Q90" i="3"/>
  <c r="P90" i="3"/>
  <c r="Q89" i="3"/>
  <c r="P89" i="3"/>
  <c r="Q88" i="3"/>
  <c r="P88" i="3"/>
  <c r="Q87" i="3"/>
  <c r="P87" i="3"/>
  <c r="Q86" i="3"/>
  <c r="P86" i="3"/>
  <c r="H86" i="3"/>
  <c r="H95" i="3"/>
  <c r="G95" i="3"/>
  <c r="H94" i="3"/>
  <c r="G94" i="3"/>
  <c r="H93" i="3"/>
  <c r="G93" i="3"/>
  <c r="H92" i="3"/>
  <c r="G92" i="3"/>
  <c r="H91" i="3"/>
  <c r="G91" i="3"/>
  <c r="H90" i="3"/>
  <c r="G90" i="3"/>
  <c r="H89" i="3"/>
  <c r="G89" i="3"/>
  <c r="H88" i="3"/>
  <c r="G88" i="3"/>
  <c r="H87" i="3"/>
  <c r="G87" i="3"/>
  <c r="G86" i="3"/>
  <c r="I90" i="29" l="1"/>
  <c r="J92" i="29"/>
  <c r="J89" i="29"/>
  <c r="H90" i="29"/>
  <c r="I87" i="29"/>
  <c r="J88" i="29"/>
  <c r="J91" i="29"/>
  <c r="I91" i="29"/>
  <c r="I92" i="29"/>
  <c r="J86" i="29"/>
  <c r="J87" i="29"/>
  <c r="I93" i="29"/>
  <c r="I88" i="29"/>
  <c r="J90" i="29"/>
  <c r="I86" i="29"/>
  <c r="H92" i="29"/>
  <c r="K86" i="29"/>
  <c r="H88" i="29"/>
  <c r="K93" i="29"/>
  <c r="H87" i="29"/>
  <c r="K87" i="29"/>
  <c r="K92" i="29"/>
  <c r="H86" i="29"/>
  <c r="H93" i="29"/>
  <c r="K89" i="29"/>
  <c r="K88" i="29"/>
  <c r="H91" i="29"/>
  <c r="K91" i="29"/>
  <c r="G8" i="20"/>
  <c r="G6" i="20"/>
  <c r="G12" i="20"/>
  <c r="E5" i="20"/>
  <c r="F5" i="20"/>
  <c r="G7" i="20"/>
  <c r="D5" i="20"/>
  <c r="G5" i="20" l="1"/>
  <c r="Q5" i="6"/>
  <c r="H115" i="3" l="1"/>
  <c r="P135" i="3"/>
  <c r="P134" i="3"/>
  <c r="P133" i="3"/>
  <c r="P132" i="3"/>
  <c r="P131" i="3"/>
  <c r="P130" i="3"/>
  <c r="P129" i="3"/>
  <c r="P128" i="3"/>
  <c r="P127" i="3"/>
  <c r="P126" i="3"/>
  <c r="G135" i="3"/>
  <c r="G134" i="3"/>
  <c r="G133" i="3"/>
  <c r="G132" i="3"/>
  <c r="G131" i="3"/>
  <c r="G130" i="3"/>
  <c r="G129" i="3"/>
  <c r="G128" i="3"/>
  <c r="G127" i="3"/>
  <c r="G126" i="3"/>
  <c r="Q4" i="6"/>
  <c r="R135" i="3" l="1"/>
  <c r="R129" i="3"/>
  <c r="R128" i="3"/>
  <c r="R127" i="3"/>
  <c r="R134" i="3"/>
  <c r="R133" i="3"/>
  <c r="R132" i="3"/>
  <c r="R131" i="3"/>
  <c r="R130" i="3"/>
  <c r="R126" i="3"/>
  <c r="O131" i="3"/>
  <c r="O130" i="3"/>
  <c r="O129" i="3"/>
  <c r="O128" i="3"/>
  <c r="O134" i="3"/>
  <c r="O135" i="3"/>
  <c r="O127" i="3"/>
  <c r="O133" i="3"/>
  <c r="O132" i="3"/>
  <c r="I132" i="3"/>
  <c r="I131" i="3"/>
  <c r="I130" i="3"/>
  <c r="I128" i="3"/>
  <c r="I133" i="3"/>
  <c r="I135" i="3"/>
  <c r="I127" i="3"/>
  <c r="I134" i="3"/>
  <c r="I126" i="3"/>
  <c r="O126" i="3"/>
  <c r="I129" i="3"/>
  <c r="E134" i="3" l="1" a="1"/>
  <c r="E134" i="3" s="1"/>
  <c r="L12" i="4" s="1"/>
  <c r="F133" i="3" a="1"/>
  <c r="F133" i="3" s="1"/>
  <c r="F128" i="3" a="1"/>
  <c r="F128" i="3" s="1"/>
  <c r="F135" i="3" a="1"/>
  <c r="F135" i="3" s="1"/>
  <c r="F131" i="3" a="1"/>
  <c r="F131" i="3" s="1"/>
  <c r="D127" i="3" a="1"/>
  <c r="D127" i="3" s="1"/>
  <c r="K5" i="4" s="1"/>
  <c r="F130" i="3" a="1"/>
  <c r="F130" i="3" s="1"/>
  <c r="E132" i="3" a="1"/>
  <c r="E132" i="3" s="1"/>
  <c r="L10" i="4" s="1"/>
  <c r="F129" i="3" a="1"/>
  <c r="F129" i="3" s="1"/>
  <c r="D135" i="3" a="1"/>
  <c r="D135" i="3" s="1"/>
  <c r="K13" i="4" s="1"/>
  <c r="D131" i="3" a="1"/>
  <c r="D131" i="3" s="1"/>
  <c r="K9" i="4" s="1"/>
  <c r="D126" i="3" a="1"/>
  <c r="D126" i="3" s="1"/>
  <c r="K4" i="4" s="1"/>
  <c r="F126" i="3" a="1"/>
  <c r="F126" i="3" s="1"/>
  <c r="E127" i="3" a="1"/>
  <c r="E127" i="3" s="1"/>
  <c r="L5" i="4" s="1"/>
  <c r="F132" i="3" a="1"/>
  <c r="F132" i="3" s="1"/>
  <c r="E131" i="3" a="1"/>
  <c r="E131" i="3" s="1"/>
  <c r="L9" i="4" s="1"/>
  <c r="D130" i="3" a="1"/>
  <c r="D130" i="3" s="1"/>
  <c r="K8" i="4" s="1"/>
  <c r="D129" i="3" a="1"/>
  <c r="D129" i="3" s="1"/>
  <c r="K7" i="4" s="1"/>
  <c r="E126" i="3" a="1"/>
  <c r="E126" i="3" s="1"/>
  <c r="L4" i="4" s="1"/>
  <c r="E128" i="3" a="1"/>
  <c r="E128" i="3" s="1"/>
  <c r="L6" i="4" s="1"/>
  <c r="D128" i="3" a="1"/>
  <c r="D128" i="3" s="1"/>
  <c r="K6" i="4" s="1"/>
  <c r="D134" i="3" a="1"/>
  <c r="D134" i="3" s="1"/>
  <c r="K12" i="4" s="1"/>
  <c r="E130" i="3" a="1"/>
  <c r="E130" i="3" s="1"/>
  <c r="L8" i="4" s="1"/>
  <c r="D132" i="3" a="1"/>
  <c r="D132" i="3" s="1"/>
  <c r="K10" i="4" s="1"/>
  <c r="F134" i="3" a="1"/>
  <c r="F134" i="3" s="1"/>
  <c r="E135" i="3" a="1"/>
  <c r="E135" i="3" s="1"/>
  <c r="L13" i="4" s="1"/>
  <c r="E129" i="3" a="1"/>
  <c r="E129" i="3" s="1"/>
  <c r="L7" i="4" s="1"/>
  <c r="E133" i="3" a="1"/>
  <c r="E133" i="3" s="1"/>
  <c r="L11" i="4" s="1"/>
  <c r="F127" i="3" a="1"/>
  <c r="F127" i="3" s="1"/>
  <c r="D133" i="3" a="1"/>
  <c r="D133" i="3" s="1"/>
  <c r="K11" i="4" s="1"/>
  <c r="F21" i="20"/>
  <c r="P21" i="20"/>
  <c r="D21" i="20"/>
  <c r="E21" i="20"/>
  <c r="N21" i="20"/>
  <c r="O21" i="20"/>
  <c r="P75" i="3"/>
  <c r="P74" i="3"/>
  <c r="P73" i="3"/>
  <c r="P72" i="3"/>
  <c r="P71" i="3"/>
  <c r="P70" i="3"/>
  <c r="P69" i="3"/>
  <c r="P68" i="3"/>
  <c r="P67" i="3"/>
  <c r="P66" i="3"/>
  <c r="G75" i="3"/>
  <c r="G74" i="3"/>
  <c r="G73" i="3"/>
  <c r="G72" i="3"/>
  <c r="G71" i="3"/>
  <c r="G70" i="3"/>
  <c r="G69" i="3"/>
  <c r="G68" i="3"/>
  <c r="G67" i="3"/>
  <c r="G66" i="3"/>
  <c r="R75" i="3" l="1"/>
  <c r="Q105" i="3" s="1"/>
  <c r="G21" i="20"/>
  <c r="Q21" i="20"/>
  <c r="R69" i="3" l="1"/>
  <c r="Q99" i="3" s="1"/>
  <c r="I68" i="3"/>
  <c r="H98" i="3" s="1"/>
  <c r="O73" i="3"/>
  <c r="N103" i="3" s="1"/>
  <c r="R72" i="3"/>
  <c r="Q102" i="3" s="1"/>
  <c r="O72" i="3"/>
  <c r="N102" i="3" s="1"/>
  <c r="O68" i="3"/>
  <c r="N98" i="3" s="1"/>
  <c r="I75" i="3"/>
  <c r="H105" i="3" s="1"/>
  <c r="I70" i="3"/>
  <c r="H100" i="3" s="1"/>
  <c r="I67" i="3"/>
  <c r="H97" i="3" s="1"/>
  <c r="R73" i="3"/>
  <c r="Q103" i="3" s="1"/>
  <c r="I71" i="3"/>
  <c r="H101" i="3" s="1"/>
  <c r="I74" i="3"/>
  <c r="H104" i="3" s="1"/>
  <c r="R68" i="3"/>
  <c r="Q98" i="3" s="1"/>
  <c r="I66" i="3"/>
  <c r="H96" i="3" s="1"/>
  <c r="O69" i="3"/>
  <c r="N99" i="3" s="1"/>
  <c r="O67" i="3"/>
  <c r="N97" i="3" s="1"/>
  <c r="R66" i="3"/>
  <c r="Q96" i="3" s="1"/>
  <c r="O70" i="3"/>
  <c r="N100" i="3" s="1"/>
  <c r="I73" i="3"/>
  <c r="H103" i="3" s="1"/>
  <c r="R71" i="3"/>
  <c r="Q101" i="3" s="1"/>
  <c r="I69" i="3"/>
  <c r="H99" i="3" s="1"/>
  <c r="R74" i="3"/>
  <c r="Q104" i="3" s="1"/>
  <c r="I72" i="3"/>
  <c r="H102" i="3" s="1"/>
  <c r="O66" i="3"/>
  <c r="N96" i="3" s="1"/>
  <c r="O75" i="3"/>
  <c r="N105" i="3" s="1"/>
  <c r="R67" i="3"/>
  <c r="Q97" i="3" s="1"/>
  <c r="O71" i="3"/>
  <c r="N101" i="3" s="1"/>
  <c r="R70" i="3"/>
  <c r="Q100" i="3" s="1"/>
  <c r="O74" i="3"/>
  <c r="N104" i="3" s="1"/>
  <c r="F75" i="3" l="1" a="1"/>
  <c r="F75" i="3" s="1"/>
  <c r="D75" i="3" a="1"/>
  <c r="D75" i="3" s="1"/>
  <c r="E75" i="3" a="1"/>
  <c r="E75" i="3" s="1"/>
  <c r="D72" i="3" a="1"/>
  <c r="D72" i="3" s="1"/>
  <c r="F72" i="3" a="1"/>
  <c r="F72" i="3" s="1"/>
  <c r="E72" i="3" a="1"/>
  <c r="E72" i="3" s="1"/>
  <c r="D70" i="3" a="1"/>
  <c r="D70" i="3" s="1"/>
  <c r="E70" i="3" a="1"/>
  <c r="E70" i="3" s="1"/>
  <c r="F70" i="3" a="1"/>
  <c r="F70" i="3" s="1"/>
  <c r="E73" i="3" a="1"/>
  <c r="E73" i="3" s="1"/>
  <c r="F73" i="3" a="1"/>
  <c r="F73" i="3" s="1"/>
  <c r="D73" i="3" a="1"/>
  <c r="D73" i="3" s="1"/>
  <c r="D74" i="3" a="1"/>
  <c r="D74" i="3" s="1"/>
  <c r="E74" i="3" a="1"/>
  <c r="E74" i="3" s="1"/>
  <c r="F74" i="3" a="1"/>
  <c r="F74" i="3" s="1"/>
  <c r="D71" i="3" a="1"/>
  <c r="D71" i="3" s="1"/>
  <c r="E71" i="3" a="1"/>
  <c r="E71" i="3" s="1"/>
  <c r="F71" i="3" a="1"/>
  <c r="F71" i="3" s="1"/>
  <c r="D67" i="3" a="1"/>
  <c r="D67" i="3" s="1"/>
  <c r="F67" i="3" a="1"/>
  <c r="F67" i="3" s="1"/>
  <c r="E67" i="3" a="1"/>
  <c r="E67" i="3" s="1"/>
  <c r="E68" i="3" a="1"/>
  <c r="E68" i="3" s="1"/>
  <c r="D68" i="3" a="1"/>
  <c r="D68" i="3" s="1"/>
  <c r="F68" i="3" a="1"/>
  <c r="F68" i="3" s="1"/>
  <c r="F69" i="3" a="1"/>
  <c r="F69" i="3" s="1"/>
  <c r="D69" i="3" a="1"/>
  <c r="D69" i="3" s="1"/>
  <c r="E69" i="3" a="1"/>
  <c r="E69" i="3" s="1"/>
  <c r="D66" i="3" a="1"/>
  <c r="D66" i="3" s="1"/>
  <c r="F66" i="3" a="1"/>
  <c r="F66" i="3" s="1"/>
  <c r="E66" i="3" a="1"/>
  <c r="E66" i="3" s="1"/>
  <c r="R64" i="3"/>
  <c r="R63" i="3"/>
  <c r="R62" i="3"/>
  <c r="R61" i="3"/>
  <c r="R60" i="3"/>
  <c r="R59" i="3"/>
  <c r="R58" i="3"/>
  <c r="R57" i="3"/>
  <c r="R56" i="3"/>
  <c r="R55" i="3"/>
  <c r="O64" i="3"/>
  <c r="O63" i="3"/>
  <c r="O62" i="3"/>
  <c r="O61" i="3"/>
  <c r="O60" i="3"/>
  <c r="O59" i="3"/>
  <c r="O58" i="3"/>
  <c r="O57" i="3"/>
  <c r="O56" i="3"/>
  <c r="O55" i="3"/>
  <c r="I64" i="3"/>
  <c r="I63" i="3"/>
  <c r="I62" i="3"/>
  <c r="I61" i="3"/>
  <c r="I60" i="3"/>
  <c r="I59" i="3"/>
  <c r="I58" i="3"/>
  <c r="I57" i="3"/>
  <c r="I56" i="3"/>
  <c r="I55" i="3"/>
  <c r="F56" i="3" l="1" a="1"/>
  <c r="F56" i="3" s="1"/>
  <c r="D56" i="3" a="1"/>
  <c r="D56" i="3" s="1"/>
  <c r="E56" i="3" a="1"/>
  <c r="E56" i="3" s="1"/>
  <c r="D64" i="3" a="1"/>
  <c r="D64" i="3" s="1"/>
  <c r="E64" i="3" a="1"/>
  <c r="E64" i="3" s="1"/>
  <c r="F64" i="3" a="1"/>
  <c r="F64" i="3" s="1"/>
  <c r="F57" i="3" a="1"/>
  <c r="F57" i="3" s="1"/>
  <c r="D57" i="3" a="1"/>
  <c r="D57" i="3" s="1"/>
  <c r="E57" i="3" a="1"/>
  <c r="E57" i="3" s="1"/>
  <c r="F61" i="3" a="1"/>
  <c r="F61" i="3" s="1"/>
  <c r="D61" i="3" a="1"/>
  <c r="D61" i="3" s="1"/>
  <c r="E61" i="3" a="1"/>
  <c r="E61" i="3" s="1"/>
  <c r="E60" i="3" a="1"/>
  <c r="E60" i="3" s="1"/>
  <c r="F60" i="3" a="1"/>
  <c r="F60" i="3" s="1"/>
  <c r="D60" i="3" a="1"/>
  <c r="D60" i="3" s="1"/>
  <c r="D58" i="3" a="1"/>
  <c r="D58" i="3" s="1"/>
  <c r="E58" i="3" a="1"/>
  <c r="E58" i="3" s="1"/>
  <c r="F58" i="3" a="1"/>
  <c r="F58" i="3" s="1"/>
  <c r="F62" i="3" a="1"/>
  <c r="F62" i="3" s="1"/>
  <c r="D62" i="3" a="1"/>
  <c r="D62" i="3" s="1"/>
  <c r="E62" i="3" a="1"/>
  <c r="E62" i="3" s="1"/>
  <c r="F55" i="3" a="1"/>
  <c r="F55" i="3" s="1"/>
  <c r="D55" i="3" a="1"/>
  <c r="D55" i="3" s="1"/>
  <c r="E55" i="3" a="1"/>
  <c r="E55" i="3" s="1"/>
  <c r="E59" i="3" a="1"/>
  <c r="E59" i="3" s="1"/>
  <c r="D59" i="3" a="1"/>
  <c r="D59" i="3" s="1"/>
  <c r="F59" i="3" a="1"/>
  <c r="F59" i="3" s="1"/>
  <c r="E63" i="3" a="1"/>
  <c r="E63" i="3" s="1"/>
  <c r="F63" i="3" a="1"/>
  <c r="F63" i="3" s="1"/>
  <c r="D63" i="3" a="1"/>
  <c r="D63" i="3" s="1"/>
  <c r="G76" i="3"/>
  <c r="E84" i="18"/>
  <c r="E83" i="18"/>
  <c r="E82" i="18"/>
  <c r="E81" i="18"/>
  <c r="E80" i="18"/>
  <c r="E79" i="18"/>
  <c r="E78" i="18"/>
  <c r="E77" i="18"/>
  <c r="E76" i="18"/>
  <c r="E75" i="18"/>
  <c r="E74" i="18"/>
  <c r="E73" i="18"/>
  <c r="E72" i="18"/>
  <c r="E71" i="18"/>
  <c r="E70" i="18"/>
  <c r="E69" i="18"/>
  <c r="E68" i="18"/>
  <c r="E67" i="18"/>
  <c r="E66" i="18"/>
  <c r="E65" i="18"/>
  <c r="E64" i="18"/>
  <c r="E63" i="18"/>
  <c r="E62" i="18"/>
  <c r="E61" i="18"/>
  <c r="E60" i="18"/>
  <c r="E59" i="18"/>
  <c r="E58" i="18"/>
  <c r="E57" i="18"/>
  <c r="E56" i="18"/>
  <c r="E55" i="18"/>
  <c r="E54" i="18"/>
  <c r="E53" i="18"/>
  <c r="E52" i="18"/>
  <c r="E51" i="18"/>
  <c r="E50" i="18"/>
  <c r="E49" i="18"/>
  <c r="E48" i="18"/>
  <c r="E47" i="18"/>
  <c r="E46" i="18"/>
  <c r="E45" i="18"/>
  <c r="E44" i="18"/>
  <c r="E43" i="18"/>
  <c r="E42" i="18"/>
  <c r="E41" i="18"/>
  <c r="E40" i="18"/>
  <c r="E39" i="18"/>
  <c r="E38" i="18"/>
  <c r="E37" i="18"/>
  <c r="E36" i="18"/>
  <c r="E35" i="18"/>
  <c r="F34" i="18"/>
  <c r="E33" i="18"/>
  <c r="E32" i="18"/>
  <c r="E31" i="18"/>
  <c r="E30" i="18"/>
  <c r="E29" i="18"/>
  <c r="E28" i="18"/>
  <c r="E27" i="18"/>
  <c r="E26" i="18"/>
  <c r="E25" i="18"/>
  <c r="E24" i="18"/>
  <c r="E23" i="18"/>
  <c r="E22" i="18"/>
  <c r="E21" i="18"/>
  <c r="E20" i="18"/>
  <c r="E19" i="18"/>
  <c r="E18" i="18"/>
  <c r="E17" i="18"/>
  <c r="E16" i="18"/>
  <c r="E15" i="18"/>
  <c r="E14" i="18"/>
  <c r="E13" i="18"/>
  <c r="M24" i="11" s="1"/>
  <c r="E12" i="18"/>
  <c r="E11" i="18"/>
  <c r="E10" i="18"/>
  <c r="E9" i="18"/>
  <c r="I24" i="11" s="1"/>
  <c r="E8" i="18"/>
  <c r="E7" i="18"/>
  <c r="E6" i="18"/>
  <c r="E5" i="18"/>
  <c r="E24" i="11" s="1"/>
  <c r="E4" i="18"/>
  <c r="F3" i="18"/>
  <c r="G78" i="17"/>
  <c r="N10" i="20" s="1"/>
  <c r="G57" i="17"/>
  <c r="N11" i="20" s="1"/>
  <c r="J22" i="11"/>
  <c r="F22" i="11"/>
  <c r="G25" i="17"/>
  <c r="N6" i="20" s="1"/>
  <c r="G4" i="17"/>
  <c r="N7" i="20" s="1"/>
  <c r="Q115" i="3"/>
  <c r="P115" i="3"/>
  <c r="Q114" i="3"/>
  <c r="P114" i="3"/>
  <c r="Q113" i="3"/>
  <c r="P113" i="3"/>
  <c r="Q112" i="3"/>
  <c r="P112" i="3"/>
  <c r="Q111" i="3"/>
  <c r="P111" i="3"/>
  <c r="Q110" i="3"/>
  <c r="P110" i="3"/>
  <c r="Q109" i="3"/>
  <c r="P109" i="3"/>
  <c r="Q108" i="3"/>
  <c r="P108" i="3"/>
  <c r="Q107" i="3"/>
  <c r="P107" i="3"/>
  <c r="Q106" i="3"/>
  <c r="P106" i="3"/>
  <c r="H114" i="3"/>
  <c r="H113" i="3"/>
  <c r="H112" i="3"/>
  <c r="H111" i="3"/>
  <c r="H110" i="3"/>
  <c r="H109" i="3"/>
  <c r="H108" i="3"/>
  <c r="H107" i="3"/>
  <c r="H106" i="3"/>
  <c r="G115" i="3"/>
  <c r="G114" i="3"/>
  <c r="G113" i="3"/>
  <c r="G112" i="3"/>
  <c r="G111" i="3"/>
  <c r="G110" i="3"/>
  <c r="G109" i="3"/>
  <c r="G108" i="3"/>
  <c r="G107" i="3"/>
  <c r="G106" i="3"/>
  <c r="P85" i="3"/>
  <c r="P84" i="3"/>
  <c r="P83" i="3"/>
  <c r="P82" i="3"/>
  <c r="P81" i="3"/>
  <c r="P80" i="3"/>
  <c r="P79" i="3"/>
  <c r="P78" i="3"/>
  <c r="P77" i="3"/>
  <c r="P76" i="3"/>
  <c r="G85" i="3"/>
  <c r="G84" i="3"/>
  <c r="G83" i="3"/>
  <c r="G82" i="3"/>
  <c r="G81" i="3"/>
  <c r="G80" i="3"/>
  <c r="G79" i="3"/>
  <c r="G78" i="3"/>
  <c r="G77" i="3"/>
  <c r="R24" i="3"/>
  <c r="R23" i="3"/>
  <c r="R22" i="3"/>
  <c r="R21" i="3"/>
  <c r="R20" i="3"/>
  <c r="R19" i="3"/>
  <c r="R18" i="3"/>
  <c r="R17" i="3"/>
  <c r="R16" i="3"/>
  <c r="R15" i="3"/>
  <c r="O24" i="3"/>
  <c r="O23" i="3"/>
  <c r="O22" i="3"/>
  <c r="O21" i="3"/>
  <c r="O20" i="3"/>
  <c r="O19" i="3"/>
  <c r="O18" i="3"/>
  <c r="O17" i="3"/>
  <c r="O16" i="3"/>
  <c r="O15" i="3"/>
  <c r="I24" i="3"/>
  <c r="I23" i="3"/>
  <c r="I22" i="3"/>
  <c r="D22" i="3" s="1" a="1"/>
  <c r="D22" i="3" s="1"/>
  <c r="I21" i="3"/>
  <c r="D21" i="3" s="1" a="1"/>
  <c r="D21" i="3" s="1"/>
  <c r="I20" i="3"/>
  <c r="I19" i="3"/>
  <c r="I18" i="3"/>
  <c r="D18" i="3" s="1" a="1"/>
  <c r="D18" i="3" s="1"/>
  <c r="I17" i="3"/>
  <c r="D17" i="3" s="1" a="1"/>
  <c r="D17" i="3" s="1"/>
  <c r="I16" i="3"/>
  <c r="I15" i="3"/>
  <c r="D19" i="3" l="1" a="1"/>
  <c r="D19" i="3" s="1"/>
  <c r="D23" i="3" a="1"/>
  <c r="D23" i="3" s="1"/>
  <c r="D20" i="3" a="1"/>
  <c r="D20" i="3" s="1"/>
  <c r="D24" i="3" a="1"/>
  <c r="D24" i="3" s="1"/>
  <c r="E16" i="3" a="1"/>
  <c r="E16" i="3" s="1"/>
  <c r="D16" i="3" a="1"/>
  <c r="D16" i="3" s="1"/>
  <c r="E15" i="3" a="1"/>
  <c r="E15" i="3" s="1"/>
  <c r="D15" i="3" a="1"/>
  <c r="D15" i="3" s="1"/>
  <c r="F20" i="11"/>
  <c r="J20" i="11"/>
  <c r="E23" i="11"/>
  <c r="I23" i="11"/>
  <c r="M23" i="11"/>
  <c r="F16" i="3" a="1"/>
  <c r="F16" i="3" s="1"/>
  <c r="F20" i="3" a="1"/>
  <c r="F20" i="3" s="1"/>
  <c r="E20" i="3" a="1"/>
  <c r="E20" i="3" s="1"/>
  <c r="E17" i="3" a="1"/>
  <c r="E17" i="3" s="1"/>
  <c r="F17" i="3" a="1"/>
  <c r="F17" i="3" s="1"/>
  <c r="F21" i="3" a="1"/>
  <c r="F21" i="3" s="1"/>
  <c r="E21" i="3" a="1"/>
  <c r="E21" i="3" s="1"/>
  <c r="E24" i="3" a="1"/>
  <c r="E24" i="3" s="1"/>
  <c r="F24" i="3" a="1"/>
  <c r="F24" i="3" s="1"/>
  <c r="F18" i="3" a="1"/>
  <c r="F18" i="3" s="1"/>
  <c r="E18" i="3" a="1"/>
  <c r="E18" i="3" s="1"/>
  <c r="E22" i="3" a="1"/>
  <c r="E22" i="3" s="1"/>
  <c r="F22" i="3" a="1"/>
  <c r="F22" i="3" s="1"/>
  <c r="F15" i="3" a="1"/>
  <c r="F15" i="3" s="1"/>
  <c r="E19" i="3" a="1"/>
  <c r="E19" i="3" s="1"/>
  <c r="F19" i="3" a="1"/>
  <c r="F19" i="3" s="1"/>
  <c r="F23" i="3" a="1"/>
  <c r="F23" i="3" s="1"/>
  <c r="E23" i="3" a="1"/>
  <c r="E23" i="3" s="1"/>
  <c r="O106" i="3"/>
  <c r="D24" i="11"/>
  <c r="H24" i="11"/>
  <c r="L24" i="11"/>
  <c r="G22" i="11"/>
  <c r="K22" i="11"/>
  <c r="D21" i="11"/>
  <c r="H21" i="11"/>
  <c r="L21" i="11"/>
  <c r="I20" i="11"/>
  <c r="M20" i="11"/>
  <c r="E21" i="11"/>
  <c r="I21" i="11"/>
  <c r="M21" i="11"/>
  <c r="D25" i="11"/>
  <c r="H25" i="11"/>
  <c r="L25" i="11"/>
  <c r="B12" i="6" s="1"/>
  <c r="G56" i="17"/>
  <c r="E4" i="17"/>
  <c r="F24" i="11"/>
  <c r="J24" i="11"/>
  <c r="E25" i="11"/>
  <c r="B5" i="6" s="1"/>
  <c r="I25" i="11"/>
  <c r="B9" i="6" s="1"/>
  <c r="M25" i="11"/>
  <c r="B13" i="6" s="1"/>
  <c r="G25" i="11"/>
  <c r="G24" i="11"/>
  <c r="K24" i="11"/>
  <c r="G20" i="11"/>
  <c r="K20" i="11"/>
  <c r="D22" i="11"/>
  <c r="AC114" i="29" s="1"/>
  <c r="H22" i="11"/>
  <c r="L22" i="11"/>
  <c r="D20" i="11"/>
  <c r="H20" i="11"/>
  <c r="L20" i="11"/>
  <c r="E22" i="11"/>
  <c r="I22" i="11"/>
  <c r="M22" i="11"/>
  <c r="G21" i="11"/>
  <c r="K21" i="11"/>
  <c r="D23" i="11"/>
  <c r="I107" i="3"/>
  <c r="I110" i="3"/>
  <c r="I108" i="3"/>
  <c r="O109" i="3"/>
  <c r="R109" i="3"/>
  <c r="R113" i="3"/>
  <c r="G3" i="17"/>
  <c r="E57" i="17"/>
  <c r="J21" i="11"/>
  <c r="I109" i="3"/>
  <c r="I113" i="3"/>
  <c r="F25" i="11"/>
  <c r="B6" i="6" s="1"/>
  <c r="J25" i="11"/>
  <c r="G23" i="11"/>
  <c r="K23" i="11"/>
  <c r="K25" i="11"/>
  <c r="E20" i="11"/>
  <c r="E78" i="17"/>
  <c r="H23" i="11"/>
  <c r="L23" i="11"/>
  <c r="I114" i="3"/>
  <c r="I112" i="3"/>
  <c r="O107" i="3"/>
  <c r="R107" i="3"/>
  <c r="I111" i="3"/>
  <c r="B4" i="6"/>
  <c r="H5" i="6"/>
  <c r="I115" i="3"/>
  <c r="O111" i="3"/>
  <c r="O115" i="3"/>
  <c r="R111" i="3"/>
  <c r="R115" i="3"/>
  <c r="O113" i="3"/>
  <c r="O108" i="3"/>
  <c r="O110" i="3"/>
  <c r="O112" i="3"/>
  <c r="O114" i="3"/>
  <c r="R108" i="3"/>
  <c r="R110" i="3"/>
  <c r="R112" i="3"/>
  <c r="R114" i="3"/>
  <c r="R106" i="3"/>
  <c r="I106" i="3"/>
  <c r="E3" i="18"/>
  <c r="E25" i="17"/>
  <c r="F21" i="11"/>
  <c r="E6" i="6" s="1"/>
  <c r="F23" i="11"/>
  <c r="J23" i="11"/>
  <c r="E34" i="18"/>
  <c r="R93" i="3"/>
  <c r="I91" i="3"/>
  <c r="O87" i="3"/>
  <c r="O86" i="3"/>
  <c r="R87" i="3"/>
  <c r="R86" i="3"/>
  <c r="H9" i="6" l="1"/>
  <c r="E10" i="6"/>
  <c r="E9" i="6"/>
  <c r="H11" i="6"/>
  <c r="E11" i="6"/>
  <c r="V117" i="29"/>
  <c r="K117" i="29"/>
  <c r="N118" i="29"/>
  <c r="M122" i="29"/>
  <c r="Z116" i="29"/>
  <c r="AA122" i="29"/>
  <c r="Q114" i="29"/>
  <c r="R118" i="29"/>
  <c r="AB114" i="29"/>
  <c r="S121" i="29"/>
  <c r="S120" i="29"/>
  <c r="L117" i="29"/>
  <c r="M115" i="29"/>
  <c r="S114" i="29"/>
  <c r="L121" i="29"/>
  <c r="L114" i="29"/>
  <c r="P120" i="29"/>
  <c r="J118" i="29"/>
  <c r="K120" i="29"/>
  <c r="S117" i="29"/>
  <c r="T122" i="29"/>
  <c r="Z115" i="29"/>
  <c r="P118" i="29"/>
  <c r="M117" i="29"/>
  <c r="P123" i="29"/>
  <c r="P117" i="29"/>
  <c r="AA123" i="29"/>
  <c r="H114" i="29"/>
  <c r="R123" i="29"/>
  <c r="W116" i="29"/>
  <c r="K118" i="29"/>
  <c r="S122" i="29"/>
  <c r="R115" i="29"/>
  <c r="S116" i="29"/>
  <c r="I121" i="29"/>
  <c r="U123" i="29"/>
  <c r="M119" i="29"/>
  <c r="O119" i="29"/>
  <c r="O115" i="29"/>
  <c r="AB119" i="29"/>
  <c r="L122" i="29"/>
  <c r="U121" i="29"/>
  <c r="AA117" i="29"/>
  <c r="W115" i="29"/>
  <c r="Z120" i="29"/>
  <c r="X121" i="29"/>
  <c r="N114" i="29"/>
  <c r="Y115" i="29"/>
  <c r="P114" i="29"/>
  <c r="M114" i="29"/>
  <c r="Q116" i="29"/>
  <c r="AB118" i="29"/>
  <c r="AB120" i="29"/>
  <c r="L119" i="29"/>
  <c r="V118" i="29"/>
  <c r="U114" i="29"/>
  <c r="Z122" i="29"/>
  <c r="Q115" i="29"/>
  <c r="Y122" i="29"/>
  <c r="L118" i="29"/>
  <c r="S118" i="29"/>
  <c r="Q121" i="29"/>
  <c r="N117" i="29"/>
  <c r="AA116" i="29"/>
  <c r="Z117" i="29"/>
  <c r="R116" i="29"/>
  <c r="P115" i="29"/>
  <c r="AA120" i="29"/>
  <c r="H122" i="29"/>
  <c r="R114" i="29"/>
  <c r="Y120" i="29"/>
  <c r="O118" i="29"/>
  <c r="N121" i="29"/>
  <c r="I123" i="29"/>
  <c r="AA114" i="29"/>
  <c r="Z121" i="29"/>
  <c r="T117" i="29"/>
  <c r="H118" i="29"/>
  <c r="R117" i="29"/>
  <c r="T121" i="29"/>
  <c r="T115" i="29"/>
  <c r="I120" i="29"/>
  <c r="O117" i="29"/>
  <c r="O121" i="29"/>
  <c r="N123" i="29"/>
  <c r="AA121" i="29"/>
  <c r="W118" i="29"/>
  <c r="Q122" i="29"/>
  <c r="W122" i="29"/>
  <c r="U118" i="29"/>
  <c r="X115" i="29"/>
  <c r="AA119" i="29"/>
  <c r="J119" i="29"/>
  <c r="I116" i="29"/>
  <c r="M116" i="29"/>
  <c r="H121" i="29"/>
  <c r="AA115" i="29"/>
  <c r="T116" i="29"/>
  <c r="N122" i="29"/>
  <c r="Y118" i="29"/>
  <c r="M121" i="29"/>
  <c r="Z114" i="29"/>
  <c r="W120" i="29"/>
  <c r="P116" i="29"/>
  <c r="M118" i="29"/>
  <c r="K114" i="29"/>
  <c r="O114" i="29"/>
  <c r="Z123" i="29"/>
  <c r="T114" i="29"/>
  <c r="X114" i="29"/>
  <c r="V115" i="29"/>
  <c r="J122" i="29"/>
  <c r="W123" i="29"/>
  <c r="S123" i="29"/>
  <c r="M120" i="29"/>
  <c r="O120" i="29"/>
  <c r="H123" i="29"/>
  <c r="AB116" i="29"/>
  <c r="V122" i="29"/>
  <c r="T123" i="29"/>
  <c r="H119" i="29"/>
  <c r="U119" i="29"/>
  <c r="V123" i="29"/>
  <c r="T118" i="29"/>
  <c r="U117" i="29"/>
  <c r="Y123" i="29"/>
  <c r="J116" i="29"/>
  <c r="U122" i="29"/>
  <c r="Q119" i="29"/>
  <c r="S119" i="29"/>
  <c r="Y116" i="29"/>
  <c r="N116" i="29"/>
  <c r="J121" i="29"/>
  <c r="L116" i="29"/>
  <c r="Y119" i="29"/>
  <c r="X116" i="29"/>
  <c r="K122" i="29"/>
  <c r="Q117" i="29"/>
  <c r="L123" i="29"/>
  <c r="R120" i="29"/>
  <c r="H116" i="29"/>
  <c r="AA118" i="29"/>
  <c r="P119" i="29"/>
  <c r="I117" i="29"/>
  <c r="I114" i="29"/>
  <c r="X118" i="29"/>
  <c r="K116" i="29"/>
  <c r="O116" i="29"/>
  <c r="U116" i="29"/>
  <c r="N120" i="29"/>
  <c r="W121" i="29"/>
  <c r="T120" i="29"/>
  <c r="L115" i="29"/>
  <c r="Q118" i="29"/>
  <c r="V119" i="29"/>
  <c r="J115" i="29"/>
  <c r="O123" i="29"/>
  <c r="Z118" i="29"/>
  <c r="R122" i="29"/>
  <c r="P122" i="29"/>
  <c r="I119" i="29"/>
  <c r="S115" i="29"/>
  <c r="K123" i="29"/>
  <c r="W117" i="29"/>
  <c r="V120" i="29"/>
  <c r="R119" i="29"/>
  <c r="T119" i="29"/>
  <c r="AB122" i="29"/>
  <c r="K121" i="29"/>
  <c r="U115" i="29"/>
  <c r="N115" i="29"/>
  <c r="Z119" i="29"/>
  <c r="Y114" i="29"/>
  <c r="U120" i="29"/>
  <c r="X120" i="29"/>
  <c r="R121" i="29"/>
  <c r="J123" i="29"/>
  <c r="AB117" i="29"/>
  <c r="K115" i="29"/>
  <c r="X123" i="29"/>
  <c r="J114" i="29"/>
  <c r="V121" i="29"/>
  <c r="I118" i="29"/>
  <c r="W114" i="29"/>
  <c r="Q120" i="29"/>
  <c r="I115" i="29"/>
  <c r="X117" i="29"/>
  <c r="O122" i="29"/>
  <c r="Y117" i="29"/>
  <c r="J120" i="29"/>
  <c r="L120" i="29"/>
  <c r="Y121" i="29"/>
  <c r="N119" i="29"/>
  <c r="AB121" i="29"/>
  <c r="X122" i="29"/>
  <c r="H117" i="29"/>
  <c r="V116" i="29"/>
  <c r="H120" i="29"/>
  <c r="AB123" i="29"/>
  <c r="AB115" i="29"/>
  <c r="W119" i="29"/>
  <c r="X119" i="29"/>
  <c r="P121" i="29"/>
  <c r="I122" i="29"/>
  <c r="J117" i="29"/>
  <c r="H115" i="29"/>
  <c r="V114" i="29"/>
  <c r="M123" i="29"/>
  <c r="K119" i="29"/>
  <c r="Q123" i="29"/>
  <c r="H7" i="6"/>
  <c r="E12" i="6"/>
  <c r="E13" i="6"/>
  <c r="F109" i="3" a="1"/>
  <c r="F109" i="3" s="1"/>
  <c r="D112" i="3" a="1"/>
  <c r="D112" i="3" s="1"/>
  <c r="K10" i="6" s="1"/>
  <c r="D107" i="3" a="1"/>
  <c r="D107" i="3" s="1"/>
  <c r="K5" i="6" s="1"/>
  <c r="D115" i="3" a="1"/>
  <c r="D115" i="3" s="1"/>
  <c r="K13" i="6" s="1"/>
  <c r="D111" i="3" a="1"/>
  <c r="D111" i="3" s="1"/>
  <c r="K9" i="6" s="1"/>
  <c r="E114" i="3" a="1"/>
  <c r="E114" i="3" s="1"/>
  <c r="L12" i="6" s="1"/>
  <c r="F106" i="3" a="1"/>
  <c r="F106" i="3" s="1"/>
  <c r="D108" i="3" a="1"/>
  <c r="D108" i="3" s="1"/>
  <c r="K6" i="6" s="1"/>
  <c r="F111" i="3" a="1"/>
  <c r="F111" i="3" s="1"/>
  <c r="F112" i="3" a="1"/>
  <c r="F112" i="3" s="1"/>
  <c r="F115" i="3" a="1"/>
  <c r="F115" i="3" s="1"/>
  <c r="F107" i="3" a="1"/>
  <c r="F107" i="3" s="1"/>
  <c r="D113" i="3" a="1"/>
  <c r="D113" i="3" s="1"/>
  <c r="K11" i="6" s="1"/>
  <c r="E110" i="3" a="1"/>
  <c r="E110" i="3" s="1"/>
  <c r="L8" i="6" s="1"/>
  <c r="D106" i="3" a="1"/>
  <c r="D106" i="3" s="1"/>
  <c r="K4" i="6" s="1"/>
  <c r="E108" i="3" a="1"/>
  <c r="E108" i="3" s="1"/>
  <c r="L6" i="6" s="1"/>
  <c r="E115" i="3" a="1"/>
  <c r="E115" i="3" s="1"/>
  <c r="L13" i="6" s="1"/>
  <c r="E111" i="3" a="1"/>
  <c r="E111" i="3" s="1"/>
  <c r="L9" i="6" s="1"/>
  <c r="F114" i="3" a="1"/>
  <c r="F114" i="3" s="1"/>
  <c r="F110" i="3" a="1"/>
  <c r="F110" i="3" s="1"/>
  <c r="E106" i="3" a="1"/>
  <c r="E106" i="3" s="1"/>
  <c r="L4" i="6" s="1"/>
  <c r="E113" i="3" a="1"/>
  <c r="E113" i="3" s="1"/>
  <c r="L11" i="6" s="1"/>
  <c r="E112" i="3" a="1"/>
  <c r="E112" i="3" s="1"/>
  <c r="L10" i="6" s="1"/>
  <c r="F108" i="3" a="1"/>
  <c r="F108" i="3" s="1"/>
  <c r="E109" i="3" a="1"/>
  <c r="E109" i="3" s="1"/>
  <c r="L7" i="6" s="1"/>
  <c r="E107" i="3" a="1"/>
  <c r="E107" i="3" s="1"/>
  <c r="L5" i="6" s="1"/>
  <c r="D114" i="3" a="1"/>
  <c r="D114" i="3" s="1"/>
  <c r="K12" i="6" s="1"/>
  <c r="D110" i="3" a="1"/>
  <c r="D110" i="3" s="1"/>
  <c r="K8" i="6" s="1"/>
  <c r="F113" i="3" a="1"/>
  <c r="F113" i="3" s="1"/>
  <c r="D109" i="3" a="1"/>
  <c r="D109" i="3" s="1"/>
  <c r="K7" i="6" s="1"/>
  <c r="B10" i="6"/>
  <c r="E5" i="6"/>
  <c r="E7" i="6"/>
  <c r="E3" i="17"/>
  <c r="H12" i="6"/>
  <c r="E8" i="6"/>
  <c r="H8" i="6"/>
  <c r="E4" i="6"/>
  <c r="E4" i="20"/>
  <c r="O4" i="20"/>
  <c r="H26" i="11"/>
  <c r="B8" i="6"/>
  <c r="D4" i="20"/>
  <c r="N4" i="20"/>
  <c r="E56" i="17"/>
  <c r="C22" i="11"/>
  <c r="P4" i="20"/>
  <c r="F4" i="20"/>
  <c r="M26" i="11"/>
  <c r="C24" i="11"/>
  <c r="H13" i="6"/>
  <c r="H4" i="6"/>
  <c r="D26" i="11"/>
  <c r="B7" i="6"/>
  <c r="I26" i="11"/>
  <c r="K26" i="11"/>
  <c r="G26" i="11"/>
  <c r="C20" i="11"/>
  <c r="C25" i="11"/>
  <c r="E26" i="11"/>
  <c r="J26" i="11"/>
  <c r="B11" i="6"/>
  <c r="L26" i="11"/>
  <c r="C23" i="11"/>
  <c r="H6" i="6"/>
  <c r="H10" i="6"/>
  <c r="R88" i="3"/>
  <c r="R90" i="3"/>
  <c r="R92" i="3"/>
  <c r="R94" i="3"/>
  <c r="R91" i="3"/>
  <c r="R95" i="3"/>
  <c r="R89" i="3"/>
  <c r="O95" i="3"/>
  <c r="O88" i="3"/>
  <c r="O90" i="3"/>
  <c r="O92" i="3"/>
  <c r="O94" i="3"/>
  <c r="O89" i="3"/>
  <c r="O93" i="3"/>
  <c r="I88" i="3"/>
  <c r="I90" i="3"/>
  <c r="I92" i="3"/>
  <c r="I94" i="3"/>
  <c r="I87" i="3"/>
  <c r="F26" i="11"/>
  <c r="C21" i="11"/>
  <c r="O91" i="3"/>
  <c r="I89" i="3"/>
  <c r="I93" i="3"/>
  <c r="I95" i="3"/>
  <c r="I86" i="3"/>
  <c r="E14" i="6" l="1"/>
  <c r="E115" i="29"/>
  <c r="E10" i="11" s="1"/>
  <c r="E120" i="29"/>
  <c r="J10" i="11" s="1"/>
  <c r="K83" i="29"/>
  <c r="K61" i="29" s="1"/>
  <c r="F11" i="20" s="1"/>
  <c r="M83" i="29"/>
  <c r="M61" i="29" s="1"/>
  <c r="X83" i="29"/>
  <c r="X61" i="29" s="1"/>
  <c r="Z83" i="29"/>
  <c r="Z61" i="29" s="1"/>
  <c r="J83" i="29"/>
  <c r="J61" i="29" s="1"/>
  <c r="Y83" i="29"/>
  <c r="Y61" i="29" s="1"/>
  <c r="I83" i="29"/>
  <c r="I61" i="29" s="1"/>
  <c r="E11" i="20" s="1"/>
  <c r="E123" i="29"/>
  <c r="M10" i="11" s="1"/>
  <c r="T83" i="29"/>
  <c r="T61" i="29" s="1"/>
  <c r="AB83" i="29"/>
  <c r="AB61" i="29" s="1"/>
  <c r="E117" i="29"/>
  <c r="G10" i="11" s="1"/>
  <c r="W83" i="29"/>
  <c r="W61" i="29" s="1"/>
  <c r="E121" i="29"/>
  <c r="K10" i="11" s="1"/>
  <c r="U83" i="29"/>
  <c r="U61" i="29" s="1"/>
  <c r="H83" i="29"/>
  <c r="E114" i="29"/>
  <c r="L83" i="29"/>
  <c r="L61" i="29" s="1"/>
  <c r="E118" i="29"/>
  <c r="H10" i="11" s="1"/>
  <c r="R83" i="29"/>
  <c r="R61" i="29" s="1"/>
  <c r="S83" i="29"/>
  <c r="S61" i="29" s="1"/>
  <c r="E116" i="29"/>
  <c r="F10" i="11" s="1"/>
  <c r="E119" i="29"/>
  <c r="I10" i="11" s="1"/>
  <c r="E122" i="29"/>
  <c r="L10" i="11" s="1"/>
  <c r="P83" i="29"/>
  <c r="P61" i="29" s="1"/>
  <c r="V83" i="29"/>
  <c r="V61" i="29" s="1"/>
  <c r="O83" i="29"/>
  <c r="O61" i="29" s="1"/>
  <c r="AA83" i="29"/>
  <c r="AA61" i="29" s="1"/>
  <c r="N83" i="29"/>
  <c r="N61" i="29" s="1"/>
  <c r="Q83" i="29"/>
  <c r="Q61" i="29" s="1"/>
  <c r="E91" i="3" a="1"/>
  <c r="E91" i="3" s="1"/>
  <c r="D95" i="3" a="1"/>
  <c r="D95" i="3" s="1"/>
  <c r="F95" i="3" a="1"/>
  <c r="F95" i="3" s="1"/>
  <c r="E95" i="3" a="1"/>
  <c r="E95" i="3" s="1"/>
  <c r="E94" i="3" a="1"/>
  <c r="E94" i="3" s="1"/>
  <c r="F94" i="3" a="1"/>
  <c r="F94" i="3" s="1"/>
  <c r="D94" i="3" a="1"/>
  <c r="D94" i="3" s="1"/>
  <c r="D93" i="3" a="1"/>
  <c r="D93" i="3" s="1"/>
  <c r="E93" i="3" a="1"/>
  <c r="E93" i="3" s="1"/>
  <c r="F93" i="3" a="1"/>
  <c r="F93" i="3" s="1"/>
  <c r="F91" i="3" a="1"/>
  <c r="F91" i="3" s="1"/>
  <c r="F89" i="3" a="1"/>
  <c r="F89" i="3" s="1"/>
  <c r="E89" i="3" a="1"/>
  <c r="E89" i="3" s="1"/>
  <c r="D89" i="3" a="1"/>
  <c r="D89" i="3" s="1"/>
  <c r="E87" i="3" a="1"/>
  <c r="E87" i="3" s="1"/>
  <c r="F87" i="3" a="1"/>
  <c r="F87" i="3" s="1"/>
  <c r="D87" i="3" a="1"/>
  <c r="D87" i="3" s="1"/>
  <c r="D92" i="3" a="1"/>
  <c r="D92" i="3" s="1"/>
  <c r="E92" i="3" a="1"/>
  <c r="E92" i="3" s="1"/>
  <c r="F92" i="3" a="1"/>
  <c r="F92" i="3" s="1"/>
  <c r="F88" i="3" a="1"/>
  <c r="F88" i="3" s="1"/>
  <c r="D88" i="3" a="1"/>
  <c r="D88" i="3" s="1"/>
  <c r="E88" i="3" a="1"/>
  <c r="E88" i="3" s="1"/>
  <c r="D91" i="3" a="1"/>
  <c r="D91" i="3" s="1"/>
  <c r="F90" i="3" a="1"/>
  <c r="F90" i="3" s="1"/>
  <c r="D90" i="3" a="1"/>
  <c r="D90" i="3" s="1"/>
  <c r="E90" i="3" a="1"/>
  <c r="E90" i="3" s="1"/>
  <c r="F86" i="3" a="1"/>
  <c r="F86" i="3" s="1"/>
  <c r="D86" i="3" a="1"/>
  <c r="D86" i="3" s="1"/>
  <c r="E86" i="3" a="1"/>
  <c r="E86" i="3" s="1"/>
  <c r="O20" i="20"/>
  <c r="Q4" i="20"/>
  <c r="N20" i="20"/>
  <c r="G4" i="20"/>
  <c r="P20" i="20"/>
  <c r="H15" i="6"/>
  <c r="C26" i="11"/>
  <c r="G13" i="4"/>
  <c r="E14" i="4"/>
  <c r="F14" i="4"/>
  <c r="H14" i="4"/>
  <c r="F10" i="20" l="1"/>
  <c r="F9" i="20" s="1"/>
  <c r="F3" i="20" s="1"/>
  <c r="E10" i="20"/>
  <c r="E9" i="20" s="1"/>
  <c r="E3" i="20" s="1"/>
  <c r="H61" i="29"/>
  <c r="D11" i="20" s="1"/>
  <c r="G11" i="20" s="1"/>
  <c r="D10" i="20"/>
  <c r="D10" i="11"/>
  <c r="E83" i="29"/>
  <c r="E61" i="29" s="1"/>
  <c r="Q20" i="20"/>
  <c r="D9" i="20" l="1"/>
  <c r="G10" i="20"/>
  <c r="M4" i="4"/>
  <c r="K14" i="4"/>
  <c r="K14" i="6"/>
  <c r="G9" i="20" l="1"/>
  <c r="D3" i="20"/>
  <c r="G3" i="20" s="1"/>
  <c r="L14" i="4"/>
  <c r="L14" i="6"/>
  <c r="Q117" i="3"/>
  <c r="Q116" i="3"/>
  <c r="P125" i="3"/>
  <c r="P124" i="3"/>
  <c r="P123" i="3"/>
  <c r="P122" i="3"/>
  <c r="P121" i="3"/>
  <c r="P120" i="3"/>
  <c r="P119" i="3"/>
  <c r="P118" i="3"/>
  <c r="P117" i="3"/>
  <c r="P116" i="3"/>
  <c r="H125" i="3"/>
  <c r="H124" i="3"/>
  <c r="H123" i="3"/>
  <c r="H122" i="3"/>
  <c r="H121" i="3"/>
  <c r="H120" i="3"/>
  <c r="H119" i="3"/>
  <c r="H118" i="3"/>
  <c r="H117" i="3"/>
  <c r="H116" i="3"/>
  <c r="G117" i="3"/>
  <c r="G118" i="3"/>
  <c r="G119" i="3"/>
  <c r="G120" i="3"/>
  <c r="G121" i="3"/>
  <c r="G122" i="3"/>
  <c r="G123" i="3"/>
  <c r="G124" i="3"/>
  <c r="G125" i="3"/>
  <c r="G116" i="3"/>
  <c r="R54" i="3"/>
  <c r="Q34" i="3" s="1"/>
  <c r="Q125" i="3" s="1"/>
  <c r="R53" i="3"/>
  <c r="Q33" i="3" s="1"/>
  <c r="Q124" i="3" s="1"/>
  <c r="R52" i="3"/>
  <c r="Q32" i="3" s="1"/>
  <c r="Q123" i="3" s="1"/>
  <c r="R51" i="3"/>
  <c r="Q31" i="3" s="1"/>
  <c r="Q122" i="3" s="1"/>
  <c r="R50" i="3"/>
  <c r="Q30" i="3" s="1"/>
  <c r="Q121" i="3" s="1"/>
  <c r="R49" i="3"/>
  <c r="Q29" i="3" s="1"/>
  <c r="Q120" i="3" s="1"/>
  <c r="R48" i="3"/>
  <c r="Q28" i="3" s="1"/>
  <c r="Q119" i="3" s="1"/>
  <c r="R47" i="3"/>
  <c r="Q27" i="3" s="1"/>
  <c r="Q118" i="3" s="1"/>
  <c r="R46" i="3"/>
  <c r="R45" i="3"/>
  <c r="O54" i="3"/>
  <c r="N34" i="3" s="1"/>
  <c r="N125" i="3" s="1"/>
  <c r="O53" i="3"/>
  <c r="N33" i="3" s="1"/>
  <c r="N124" i="3" s="1"/>
  <c r="O52" i="3"/>
  <c r="N32" i="3" s="1"/>
  <c r="N123" i="3" s="1"/>
  <c r="O51" i="3"/>
  <c r="N31" i="3" s="1"/>
  <c r="N122" i="3" s="1"/>
  <c r="O50" i="3"/>
  <c r="N30" i="3" s="1"/>
  <c r="N121" i="3" s="1"/>
  <c r="O49" i="3"/>
  <c r="N29" i="3" s="1"/>
  <c r="N120" i="3" s="1"/>
  <c r="O48" i="3"/>
  <c r="N28" i="3" s="1"/>
  <c r="N119" i="3" s="1"/>
  <c r="O47" i="3"/>
  <c r="N27" i="3" s="1"/>
  <c r="N118" i="3" s="1"/>
  <c r="O46" i="3"/>
  <c r="O45" i="3"/>
  <c r="I54" i="3"/>
  <c r="I53" i="3"/>
  <c r="I52" i="3"/>
  <c r="I51" i="3"/>
  <c r="I50" i="3"/>
  <c r="I49" i="3"/>
  <c r="I48" i="3"/>
  <c r="I47" i="3"/>
  <c r="I46" i="3"/>
  <c r="I45" i="3"/>
  <c r="I44" i="3"/>
  <c r="I43" i="3"/>
  <c r="I42" i="3"/>
  <c r="I41" i="3"/>
  <c r="I40" i="3"/>
  <c r="I39" i="3"/>
  <c r="I38" i="3"/>
  <c r="I37" i="3"/>
  <c r="I36" i="3"/>
  <c r="I35" i="3"/>
  <c r="O44" i="3"/>
  <c r="O43" i="3"/>
  <c r="O42" i="3"/>
  <c r="O41" i="3"/>
  <c r="O40" i="3"/>
  <c r="O39" i="3"/>
  <c r="O38" i="3"/>
  <c r="O37" i="3"/>
  <c r="O36" i="3"/>
  <c r="O35" i="3"/>
  <c r="R35" i="3"/>
  <c r="R36" i="3"/>
  <c r="R37" i="3"/>
  <c r="R38" i="3"/>
  <c r="R39" i="3"/>
  <c r="R40" i="3"/>
  <c r="R41" i="3"/>
  <c r="R42" i="3"/>
  <c r="R43" i="3"/>
  <c r="R44" i="3"/>
  <c r="R34" i="3"/>
  <c r="R33" i="3"/>
  <c r="R32" i="3"/>
  <c r="R31" i="3"/>
  <c r="R30" i="3"/>
  <c r="R29" i="3"/>
  <c r="R28" i="3"/>
  <c r="R27" i="3"/>
  <c r="R26" i="3"/>
  <c r="R25" i="3"/>
  <c r="O26" i="3"/>
  <c r="O25" i="3"/>
  <c r="I26" i="3"/>
  <c r="I27" i="3"/>
  <c r="I28" i="3"/>
  <c r="I29" i="3"/>
  <c r="I30" i="3"/>
  <c r="I31" i="3"/>
  <c r="I32" i="3"/>
  <c r="I33" i="3"/>
  <c r="I34" i="3"/>
  <c r="I25" i="3"/>
  <c r="R14" i="3"/>
  <c r="R13" i="3"/>
  <c r="R12" i="3"/>
  <c r="R11" i="3"/>
  <c r="R10" i="3"/>
  <c r="R9" i="3"/>
  <c r="R8" i="3"/>
  <c r="R7" i="3"/>
  <c r="R6" i="3"/>
  <c r="R5" i="3"/>
  <c r="O14" i="3"/>
  <c r="O13" i="3"/>
  <c r="O12" i="3"/>
  <c r="O11" i="3"/>
  <c r="O10" i="3"/>
  <c r="O9" i="3"/>
  <c r="O8" i="3"/>
  <c r="O7" i="3"/>
  <c r="O6" i="3"/>
  <c r="O5" i="3"/>
  <c r="I5" i="3"/>
  <c r="I6" i="3"/>
  <c r="I7" i="3"/>
  <c r="I8" i="3"/>
  <c r="I9" i="3"/>
  <c r="I10" i="3"/>
  <c r="I11" i="3"/>
  <c r="I12" i="3"/>
  <c r="I13" i="3"/>
  <c r="I14" i="3"/>
  <c r="D26" i="3" l="1" a="1"/>
  <c r="D26" i="3" s="1"/>
  <c r="F26" i="3" a="1"/>
  <c r="F26" i="3" s="1"/>
  <c r="E26" i="3" a="1"/>
  <c r="E26" i="3" s="1"/>
  <c r="O27" i="3"/>
  <c r="E27" i="3" s="1" a="1"/>
  <c r="E27" i="3" s="1"/>
  <c r="O31" i="3"/>
  <c r="F25" i="3" a="1"/>
  <c r="F25" i="3" s="1"/>
  <c r="D25" i="3" a="1"/>
  <c r="D25" i="3" s="1"/>
  <c r="E25" i="3" a="1"/>
  <c r="E25" i="3" s="1"/>
  <c r="O28" i="3"/>
  <c r="O29" i="3"/>
  <c r="O33" i="3"/>
  <c r="O32" i="3"/>
  <c r="O30" i="3"/>
  <c r="O34" i="3"/>
  <c r="D31" i="3" a="1"/>
  <c r="D31" i="3" s="1"/>
  <c r="F31" i="3" a="1"/>
  <c r="F31" i="3" s="1"/>
  <c r="E31" i="3" a="1"/>
  <c r="E31" i="3" s="1"/>
  <c r="E28" i="3" a="1"/>
  <c r="E28" i="3" s="1"/>
  <c r="F39" i="3" a="1"/>
  <c r="F39" i="3" s="1"/>
  <c r="E39" i="3" a="1"/>
  <c r="E39" i="3" s="1"/>
  <c r="D39" i="3" a="1"/>
  <c r="D39" i="3" s="1"/>
  <c r="F43" i="3" a="1"/>
  <c r="F43" i="3" s="1"/>
  <c r="E43" i="3" a="1"/>
  <c r="E43" i="3" s="1"/>
  <c r="D43" i="3" a="1"/>
  <c r="D43" i="3" s="1"/>
  <c r="D36" i="3" a="1"/>
  <c r="D36" i="3" s="1"/>
  <c r="F36" i="3" a="1"/>
  <c r="F36" i="3" s="1"/>
  <c r="E36" i="3" a="1"/>
  <c r="E36" i="3" s="1"/>
  <c r="D40" i="3" a="1"/>
  <c r="D40" i="3" s="1"/>
  <c r="F40" i="3" a="1"/>
  <c r="F40" i="3" s="1"/>
  <c r="E40" i="3" a="1"/>
  <c r="E40" i="3" s="1"/>
  <c r="D44" i="3" a="1"/>
  <c r="D44" i="3" s="1"/>
  <c r="F44" i="3" a="1"/>
  <c r="F44" i="3" s="1"/>
  <c r="E44" i="3" a="1"/>
  <c r="E44" i="3" s="1"/>
  <c r="E37" i="3" a="1"/>
  <c r="E37" i="3" s="1"/>
  <c r="F37" i="3" a="1"/>
  <c r="F37" i="3" s="1"/>
  <c r="D37" i="3" a="1"/>
  <c r="D37" i="3" s="1"/>
  <c r="E41" i="3" a="1"/>
  <c r="E41" i="3" s="1"/>
  <c r="D41" i="3" a="1"/>
  <c r="D41" i="3" s="1"/>
  <c r="F41" i="3" a="1"/>
  <c r="F41" i="3" s="1"/>
  <c r="E38" i="3" a="1"/>
  <c r="E38" i="3" s="1"/>
  <c r="D38" i="3" a="1"/>
  <c r="D38" i="3" s="1"/>
  <c r="F38" i="3" a="1"/>
  <c r="F38" i="3" s="1"/>
  <c r="F42" i="3" a="1"/>
  <c r="F42" i="3" s="1"/>
  <c r="E42" i="3" a="1"/>
  <c r="E42" i="3" s="1"/>
  <c r="D42" i="3" a="1"/>
  <c r="D42" i="3" s="1"/>
  <c r="F35" i="3" a="1"/>
  <c r="F35" i="3" s="1"/>
  <c r="D35" i="3" a="1"/>
  <c r="D35" i="3" s="1"/>
  <c r="E35" i="3" a="1"/>
  <c r="E35" i="3" s="1"/>
  <c r="F47" i="3" a="1"/>
  <c r="F47" i="3" s="1"/>
  <c r="D47" i="3" a="1"/>
  <c r="D47" i="3" s="1"/>
  <c r="E47" i="3" a="1"/>
  <c r="E47" i="3" s="1"/>
  <c r="D48" i="3" a="1"/>
  <c r="D48" i="3" s="1"/>
  <c r="E48" i="3" a="1"/>
  <c r="E48" i="3" s="1"/>
  <c r="F48" i="3" a="1"/>
  <c r="F48" i="3" s="1"/>
  <c r="D52" i="3" a="1"/>
  <c r="D52" i="3" s="1"/>
  <c r="E52" i="3" a="1"/>
  <c r="E52" i="3" s="1"/>
  <c r="F52" i="3" a="1"/>
  <c r="F52" i="3" s="1"/>
  <c r="F51" i="3" a="1"/>
  <c r="F51" i="3" s="1"/>
  <c r="D51" i="3" a="1"/>
  <c r="D51" i="3" s="1"/>
  <c r="E51" i="3" a="1"/>
  <c r="E51" i="3" s="1"/>
  <c r="E45" i="3" a="1"/>
  <c r="E45" i="3" s="1"/>
  <c r="F45" i="3" a="1"/>
  <c r="F45" i="3" s="1"/>
  <c r="D45" i="3" a="1"/>
  <c r="D45" i="3" s="1"/>
  <c r="D49" i="3" a="1"/>
  <c r="D49" i="3" s="1"/>
  <c r="E49" i="3" a="1"/>
  <c r="E49" i="3" s="1"/>
  <c r="F49" i="3" a="1"/>
  <c r="F49" i="3" s="1"/>
  <c r="E53" i="3" a="1"/>
  <c r="E53" i="3" s="1"/>
  <c r="D53" i="3" a="1"/>
  <c r="D53" i="3" s="1"/>
  <c r="F53" i="3" a="1"/>
  <c r="F53" i="3" s="1"/>
  <c r="F5" i="3" a="1"/>
  <c r="F5" i="3" s="1"/>
  <c r="E46" i="3" a="1"/>
  <c r="E46" i="3" s="1"/>
  <c r="F46" i="3" a="1"/>
  <c r="F46" i="3" s="1"/>
  <c r="D46" i="3" a="1"/>
  <c r="D46" i="3" s="1"/>
  <c r="F50" i="3" a="1"/>
  <c r="F50" i="3" s="1"/>
  <c r="E50" i="3" a="1"/>
  <c r="E50" i="3" s="1"/>
  <c r="D50" i="3" a="1"/>
  <c r="D50" i="3" s="1"/>
  <c r="E54" i="3" a="1"/>
  <c r="E54" i="3" s="1"/>
  <c r="F54" i="3" a="1"/>
  <c r="F54" i="3" s="1"/>
  <c r="D54" i="3" a="1"/>
  <c r="D54" i="3" s="1"/>
  <c r="F14" i="3" a="1"/>
  <c r="F14" i="3" s="1"/>
  <c r="E14" i="3" a="1"/>
  <c r="E14" i="3" s="1"/>
  <c r="D14" i="3" a="1"/>
  <c r="D14" i="3" s="1"/>
  <c r="F13" i="3" a="1"/>
  <c r="F13" i="3" s="1"/>
  <c r="E13" i="3" a="1"/>
  <c r="E13" i="3" s="1"/>
  <c r="D13" i="3" a="1"/>
  <c r="D13" i="3" s="1"/>
  <c r="F12" i="3" a="1"/>
  <c r="F12" i="3" s="1"/>
  <c r="D12" i="3" a="1"/>
  <c r="D12" i="3" s="1"/>
  <c r="E12" i="3" a="1"/>
  <c r="E12" i="3" s="1"/>
  <c r="F11" i="3" a="1"/>
  <c r="F11" i="3" s="1"/>
  <c r="E11" i="3" a="1"/>
  <c r="E11" i="3" s="1"/>
  <c r="D11" i="3" a="1"/>
  <c r="D11" i="3" s="1"/>
  <c r="F10" i="3" a="1"/>
  <c r="F10" i="3" s="1"/>
  <c r="D10" i="3" a="1"/>
  <c r="D10" i="3" s="1"/>
  <c r="E10" i="3" a="1"/>
  <c r="E10" i="3" s="1"/>
  <c r="F9" i="3" a="1"/>
  <c r="F9" i="3" s="1"/>
  <c r="E9" i="3" a="1"/>
  <c r="E9" i="3" s="1"/>
  <c r="D9" i="3" a="1"/>
  <c r="D9" i="3" s="1"/>
  <c r="F8" i="3" a="1"/>
  <c r="F8" i="3" s="1"/>
  <c r="D8" i="3" a="1"/>
  <c r="D8" i="3" s="1"/>
  <c r="E8" i="3" a="1"/>
  <c r="E8" i="3" s="1"/>
  <c r="F7" i="3" a="1"/>
  <c r="F7" i="3" s="1"/>
  <c r="E7" i="3" a="1"/>
  <c r="E7" i="3" s="1"/>
  <c r="D7" i="3" a="1"/>
  <c r="D7" i="3" s="1"/>
  <c r="F6" i="3" a="1"/>
  <c r="F6" i="3" s="1"/>
  <c r="E6" i="3" a="1"/>
  <c r="E6" i="3" s="1"/>
  <c r="D6" i="3" a="1"/>
  <c r="D6" i="3" s="1"/>
  <c r="D5" i="3" a="1"/>
  <c r="D5" i="3" s="1"/>
  <c r="E5" i="3" a="1"/>
  <c r="E5" i="3" s="1"/>
  <c r="O118" i="3"/>
  <c r="R118" i="3"/>
  <c r="I97" i="3"/>
  <c r="I96" i="3"/>
  <c r="O98" i="3"/>
  <c r="O102" i="3"/>
  <c r="R98" i="3"/>
  <c r="R102" i="3"/>
  <c r="I116" i="3"/>
  <c r="I100" i="3"/>
  <c r="O99" i="3"/>
  <c r="O103" i="3"/>
  <c r="R99" i="3"/>
  <c r="R103" i="3"/>
  <c r="I99" i="3"/>
  <c r="O96" i="3"/>
  <c r="O100" i="3"/>
  <c r="O104" i="3"/>
  <c r="R96" i="3"/>
  <c r="R100" i="3"/>
  <c r="R104" i="3"/>
  <c r="I98" i="3"/>
  <c r="O97" i="3"/>
  <c r="O101" i="3"/>
  <c r="O105" i="3"/>
  <c r="R97" i="3"/>
  <c r="R101" i="3"/>
  <c r="R105" i="3"/>
  <c r="I123" i="3"/>
  <c r="I119" i="3"/>
  <c r="O117" i="3"/>
  <c r="R117" i="3"/>
  <c r="I117" i="3"/>
  <c r="I121" i="3"/>
  <c r="I125" i="3"/>
  <c r="I101" i="3"/>
  <c r="I103" i="3"/>
  <c r="R84" i="3"/>
  <c r="O84" i="3"/>
  <c r="R80" i="3"/>
  <c r="O80" i="3"/>
  <c r="R76" i="3"/>
  <c r="O76" i="3"/>
  <c r="R121" i="3"/>
  <c r="R122" i="3"/>
  <c r="R125" i="3"/>
  <c r="I82" i="3"/>
  <c r="I122" i="3"/>
  <c r="O116" i="3"/>
  <c r="R116" i="3"/>
  <c r="R120" i="3"/>
  <c r="R124" i="3"/>
  <c r="I78" i="3"/>
  <c r="I85" i="3"/>
  <c r="R83" i="3"/>
  <c r="O83" i="3"/>
  <c r="R82" i="3"/>
  <c r="I81" i="3"/>
  <c r="R79" i="3"/>
  <c r="O79" i="3"/>
  <c r="I77" i="3"/>
  <c r="I120" i="3"/>
  <c r="I124" i="3"/>
  <c r="I118" i="3"/>
  <c r="O122" i="3"/>
  <c r="I83" i="3"/>
  <c r="I79" i="3"/>
  <c r="R85" i="3"/>
  <c r="O85" i="3"/>
  <c r="I84" i="3"/>
  <c r="O82" i="3"/>
  <c r="R81" i="3"/>
  <c r="O81" i="3"/>
  <c r="I80" i="3"/>
  <c r="R78" i="3"/>
  <c r="O78" i="3"/>
  <c r="R77" i="3"/>
  <c r="O77" i="3"/>
  <c r="I76" i="3"/>
  <c r="R119" i="3"/>
  <c r="R123" i="3"/>
  <c r="F27" i="3" l="1" a="1"/>
  <c r="F27" i="3" s="1"/>
  <c r="D27" i="3" a="1"/>
  <c r="D27" i="3" s="1"/>
  <c r="E33" i="3" a="1"/>
  <c r="E33" i="3" s="1"/>
  <c r="D34" i="3" a="1"/>
  <c r="D34" i="3" s="1"/>
  <c r="F33" i="3" a="1"/>
  <c r="F33" i="3" s="1"/>
  <c r="D33" i="3" a="1"/>
  <c r="D33" i="3" s="1"/>
  <c r="D28" i="3" a="1"/>
  <c r="D28" i="3" s="1"/>
  <c r="D30" i="3" a="1"/>
  <c r="D30" i="3" s="1"/>
  <c r="E30" i="3" a="1"/>
  <c r="E30" i="3" s="1"/>
  <c r="F28" i="3" a="1"/>
  <c r="F28" i="3" s="1"/>
  <c r="F30" i="3" a="1"/>
  <c r="F30" i="3" s="1"/>
  <c r="F32" i="3" a="1"/>
  <c r="F32" i="3" s="1"/>
  <c r="E32" i="3" a="1"/>
  <c r="E32" i="3" s="1"/>
  <c r="E34" i="3" a="1"/>
  <c r="E34" i="3" s="1"/>
  <c r="F29" i="3" a="1"/>
  <c r="F29" i="3" s="1"/>
  <c r="O125" i="3"/>
  <c r="O123" i="3"/>
  <c r="O120" i="3"/>
  <c r="D32" i="3" a="1"/>
  <c r="D32" i="3" s="1"/>
  <c r="F34" i="3" a="1"/>
  <c r="F34" i="3" s="1"/>
  <c r="D29" i="3" a="1"/>
  <c r="D29" i="3" s="1"/>
  <c r="E29" i="3" a="1"/>
  <c r="E29" i="3" s="1"/>
  <c r="O121" i="3"/>
  <c r="O124" i="3"/>
  <c r="F124" i="3" s="1" a="1"/>
  <c r="F124" i="3" s="1"/>
  <c r="O119" i="3"/>
  <c r="E117" i="3" a="1"/>
  <c r="E117" i="3" s="1"/>
  <c r="C5" i="4" s="1"/>
  <c r="F118" i="3" a="1"/>
  <c r="F118" i="3" s="1"/>
  <c r="E122" i="3" a="1"/>
  <c r="E122" i="3" s="1"/>
  <c r="C10" i="4" s="1"/>
  <c r="F119" i="3" a="1"/>
  <c r="F119" i="3" s="1"/>
  <c r="E116" i="3" a="1"/>
  <c r="E116" i="3" s="1"/>
  <c r="C4" i="4" s="1"/>
  <c r="R4" i="4" s="1"/>
  <c r="E118" i="3" a="1"/>
  <c r="E118" i="3" s="1"/>
  <c r="C6" i="4" s="1"/>
  <c r="F117" i="3" a="1"/>
  <c r="F117" i="3" s="1"/>
  <c r="F122" i="3" a="1"/>
  <c r="F122" i="3" s="1"/>
  <c r="D83" i="3" a="1"/>
  <c r="D83" i="3" s="1"/>
  <c r="N11" i="4" s="1"/>
  <c r="T11" i="4" s="1"/>
  <c r="E83" i="3" a="1"/>
  <c r="E83" i="3" s="1"/>
  <c r="O11" i="4" s="1"/>
  <c r="F83" i="3" a="1"/>
  <c r="F83" i="3" s="1"/>
  <c r="D78" i="3" a="1"/>
  <c r="D78" i="3" s="1"/>
  <c r="N6" i="4" s="1"/>
  <c r="T6" i="4" s="1"/>
  <c r="E78" i="3" a="1"/>
  <c r="E78" i="3" s="1"/>
  <c r="O6" i="4" s="1"/>
  <c r="F78" i="3" a="1"/>
  <c r="F78" i="3" s="1"/>
  <c r="F82" i="3" a="1"/>
  <c r="F82" i="3" s="1"/>
  <c r="D82" i="3" a="1"/>
  <c r="D82" i="3" s="1"/>
  <c r="N10" i="4" s="1"/>
  <c r="T10" i="4" s="1"/>
  <c r="E82" i="3" a="1"/>
  <c r="E82" i="3" s="1"/>
  <c r="O10" i="4" s="1"/>
  <c r="F99" i="3" a="1"/>
  <c r="F99" i="3" s="1"/>
  <c r="D99" i="3" a="1"/>
  <c r="D99" i="3" s="1"/>
  <c r="E99" i="3" a="1"/>
  <c r="E99" i="3" s="1"/>
  <c r="I7" i="4" s="1"/>
  <c r="D96" i="3" a="1"/>
  <c r="D96" i="3" s="1"/>
  <c r="E96" i="3" a="1"/>
  <c r="E96" i="3" s="1"/>
  <c r="I4" i="4" s="1"/>
  <c r="F96" i="3" a="1"/>
  <c r="F96" i="3" s="1"/>
  <c r="D117" i="3" a="1"/>
  <c r="D117" i="3" s="1"/>
  <c r="B5" i="4" s="1"/>
  <c r="D118" i="3" a="1"/>
  <c r="D118" i="3" s="1"/>
  <c r="B6" i="4" s="1"/>
  <c r="D116" i="3" a="1"/>
  <c r="D116" i="3" s="1"/>
  <c r="B4" i="4" s="1"/>
  <c r="Q4" i="4" s="1"/>
  <c r="E84" i="3" a="1"/>
  <c r="E84" i="3" s="1"/>
  <c r="O12" i="4" s="1"/>
  <c r="F84" i="3" a="1"/>
  <c r="F84" i="3" s="1"/>
  <c r="D84" i="3" a="1"/>
  <c r="D84" i="3" s="1"/>
  <c r="N12" i="4" s="1"/>
  <c r="T12" i="4" s="1"/>
  <c r="F98" i="3" a="1"/>
  <c r="F98" i="3" s="1"/>
  <c r="E98" i="3" a="1"/>
  <c r="E98" i="3" s="1"/>
  <c r="I6" i="4" s="1"/>
  <c r="D98" i="3" a="1"/>
  <c r="D98" i="3" s="1"/>
  <c r="E80" i="3" a="1"/>
  <c r="E80" i="3" s="1"/>
  <c r="O8" i="4" s="1"/>
  <c r="D80" i="3" a="1"/>
  <c r="D80" i="3" s="1"/>
  <c r="N8" i="4" s="1"/>
  <c r="T8" i="4" s="1"/>
  <c r="F80" i="3" a="1"/>
  <c r="F80" i="3" s="1"/>
  <c r="E77" i="3" a="1"/>
  <c r="E77" i="3" s="1"/>
  <c r="O5" i="4" s="1"/>
  <c r="F77" i="3" a="1"/>
  <c r="F77" i="3" s="1"/>
  <c r="D77" i="3" a="1"/>
  <c r="D77" i="3" s="1"/>
  <c r="N5" i="4" s="1"/>
  <c r="T5" i="4" s="1"/>
  <c r="F81" i="3" a="1"/>
  <c r="F81" i="3" s="1"/>
  <c r="E81" i="3" a="1"/>
  <c r="E81" i="3" s="1"/>
  <c r="O9" i="4" s="1"/>
  <c r="D81" i="3" a="1"/>
  <c r="D81" i="3" s="1"/>
  <c r="N9" i="4" s="1"/>
  <c r="T9" i="4" s="1"/>
  <c r="F103" i="3" a="1"/>
  <c r="F103" i="3" s="1"/>
  <c r="D103" i="3" a="1"/>
  <c r="D103" i="3" s="1"/>
  <c r="E103" i="3" a="1"/>
  <c r="E103" i="3" s="1"/>
  <c r="I11" i="4" s="1"/>
  <c r="F100" i="3" a="1"/>
  <c r="F100" i="3" s="1"/>
  <c r="D100" i="3" a="1"/>
  <c r="D100" i="3" s="1"/>
  <c r="E100" i="3" a="1"/>
  <c r="E100" i="3" s="1"/>
  <c r="I8" i="4" s="1"/>
  <c r="D97" i="3" a="1"/>
  <c r="D97" i="3" s="1"/>
  <c r="F97" i="3" a="1"/>
  <c r="F97" i="3" s="1"/>
  <c r="E97" i="3" a="1"/>
  <c r="E97" i="3" s="1"/>
  <c r="I5" i="4" s="1"/>
  <c r="D122" i="3" a="1"/>
  <c r="D122" i="3" s="1"/>
  <c r="B10" i="4" s="1"/>
  <c r="F116" i="3" a="1"/>
  <c r="F116" i="3" s="1"/>
  <c r="F79" i="3" a="1"/>
  <c r="F79" i="3" s="1"/>
  <c r="E79" i="3" a="1"/>
  <c r="E79" i="3" s="1"/>
  <c r="O7" i="4" s="1"/>
  <c r="D79" i="3" a="1"/>
  <c r="D79" i="3" s="1"/>
  <c r="N7" i="4" s="1"/>
  <c r="T7" i="4" s="1"/>
  <c r="D76" i="3" a="1"/>
  <c r="D76" i="3" s="1"/>
  <c r="N4" i="4" s="1"/>
  <c r="T4" i="4" s="1"/>
  <c r="F76" i="3" a="1"/>
  <c r="F76" i="3" s="1"/>
  <c r="E76" i="3" a="1"/>
  <c r="E76" i="3" s="1"/>
  <c r="O4" i="4" s="1"/>
  <c r="D85" i="3" a="1"/>
  <c r="D85" i="3" s="1"/>
  <c r="N13" i="4" s="1"/>
  <c r="T13" i="4" s="1"/>
  <c r="E85" i="3" a="1"/>
  <c r="E85" i="3" s="1"/>
  <c r="O13" i="4" s="1"/>
  <c r="F85" i="3" a="1"/>
  <c r="F85" i="3" s="1"/>
  <c r="F101" i="3" a="1"/>
  <c r="F101" i="3" s="1"/>
  <c r="D101" i="3" a="1"/>
  <c r="D101" i="3" s="1"/>
  <c r="E101" i="3" a="1"/>
  <c r="E101" i="3" s="1"/>
  <c r="I9" i="4" s="1"/>
  <c r="D15" i="20"/>
  <c r="D14" i="20" s="1"/>
  <c r="N15" i="20"/>
  <c r="N14" i="20" s="1"/>
  <c r="P15" i="20"/>
  <c r="F15" i="20"/>
  <c r="F19" i="20"/>
  <c r="E19" i="20"/>
  <c r="D19" i="20"/>
  <c r="F18" i="20"/>
  <c r="E18" i="20"/>
  <c r="O19" i="20"/>
  <c r="N19" i="20"/>
  <c r="P19" i="20"/>
  <c r="P18" i="20"/>
  <c r="O18" i="20"/>
  <c r="I105" i="3"/>
  <c r="I104" i="3"/>
  <c r="I102" i="3"/>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D119" i="3" l="1" a="1"/>
  <c r="D119" i="3" s="1"/>
  <c r="B7" i="4" s="1"/>
  <c r="D123" i="3" a="1"/>
  <c r="D123" i="3" s="1"/>
  <c r="B11" i="4" s="1"/>
  <c r="E119" i="3" a="1"/>
  <c r="E119" i="3" s="1"/>
  <c r="C7" i="4" s="1"/>
  <c r="E123" i="3" a="1"/>
  <c r="E123" i="3" s="1"/>
  <c r="C11" i="4" s="1"/>
  <c r="F123" i="3" a="1"/>
  <c r="F123" i="3" s="1"/>
  <c r="S4" i="4"/>
  <c r="O15" i="20"/>
  <c r="O14" i="20" s="1"/>
  <c r="D120" i="3" a="1"/>
  <c r="D120" i="3" s="1"/>
  <c r="B8" i="4" s="1"/>
  <c r="E120" i="3" a="1"/>
  <c r="E120" i="3" s="1"/>
  <c r="C8" i="4" s="1"/>
  <c r="D121" i="3" a="1"/>
  <c r="D121" i="3" s="1"/>
  <c r="B9" i="4" s="1"/>
  <c r="F120" i="3" a="1"/>
  <c r="F120" i="3" s="1"/>
  <c r="E121" i="3" a="1"/>
  <c r="E121" i="3" s="1"/>
  <c r="C9" i="4" s="1"/>
  <c r="E15" i="20"/>
  <c r="E14" i="20" s="1"/>
  <c r="D124" i="3" a="1"/>
  <c r="D124" i="3" s="1"/>
  <c r="B12" i="4" s="1"/>
  <c r="F121" i="3" a="1"/>
  <c r="F121" i="3" s="1"/>
  <c r="E125" i="3" a="1"/>
  <c r="E125" i="3" s="1"/>
  <c r="C13" i="4" s="1"/>
  <c r="R13" i="4" s="1"/>
  <c r="F125" i="3" a="1"/>
  <c r="F125" i="3" s="1"/>
  <c r="E124" i="3" a="1"/>
  <c r="E124" i="3" s="1"/>
  <c r="C12" i="4" s="1"/>
  <c r="D125" i="3" a="1"/>
  <c r="D125" i="3" s="1"/>
  <c r="B13" i="4" s="1"/>
  <c r="U7" i="4"/>
  <c r="V7" i="4" s="1"/>
  <c r="U9" i="4"/>
  <c r="V9" i="4" s="1"/>
  <c r="U5" i="4"/>
  <c r="V5" i="4" s="1"/>
  <c r="U6" i="4"/>
  <c r="V6" i="4" s="1"/>
  <c r="U8" i="4"/>
  <c r="V8" i="4" s="1"/>
  <c r="P6" i="4"/>
  <c r="P8" i="4"/>
  <c r="P5" i="4"/>
  <c r="P9" i="4"/>
  <c r="P13" i="4"/>
  <c r="P4" i="4"/>
  <c r="P7" i="4"/>
  <c r="T14" i="4"/>
  <c r="O14" i="4"/>
  <c r="P11" i="4"/>
  <c r="U11" i="4"/>
  <c r="V11" i="4" s="1"/>
  <c r="D102" i="3" a="1"/>
  <c r="D102" i="3" s="1"/>
  <c r="F102" i="3" a="1"/>
  <c r="F102" i="3" s="1"/>
  <c r="E102" i="3" a="1"/>
  <c r="E102" i="3" s="1"/>
  <c r="I10" i="4" s="1"/>
  <c r="U10" i="4" s="1"/>
  <c r="V10" i="4" s="1"/>
  <c r="P10" i="4"/>
  <c r="F104" i="3" a="1"/>
  <c r="F104" i="3" s="1"/>
  <c r="E104" i="3" a="1"/>
  <c r="E104" i="3" s="1"/>
  <c r="I12" i="4" s="1"/>
  <c r="U12" i="4" s="1"/>
  <c r="V12" i="4" s="1"/>
  <c r="D104" i="3" a="1"/>
  <c r="D104" i="3" s="1"/>
  <c r="N14" i="4"/>
  <c r="P12" i="4"/>
  <c r="E105" i="3" a="1"/>
  <c r="E105" i="3" s="1"/>
  <c r="I13" i="4" s="1"/>
  <c r="U13" i="4" s="1"/>
  <c r="V13" i="4" s="1"/>
  <c r="D105" i="3" a="1"/>
  <c r="D105" i="3" s="1"/>
  <c r="F105" i="3" a="1"/>
  <c r="F105" i="3" s="1"/>
  <c r="F14" i="20"/>
  <c r="P14" i="20"/>
  <c r="E17" i="20"/>
  <c r="F17" i="20"/>
  <c r="G19" i="20"/>
  <c r="D18" i="20"/>
  <c r="D17" i="20" s="1"/>
  <c r="O17" i="20"/>
  <c r="P17" i="20"/>
  <c r="Q19" i="20"/>
  <c r="N18" i="20"/>
  <c r="U4" i="4"/>
  <c r="V4" i="4" s="1"/>
  <c r="O13" i="20" l="1"/>
  <c r="Q15" i="20"/>
  <c r="Q14" i="20"/>
  <c r="B14" i="4"/>
  <c r="E13" i="20"/>
  <c r="G14" i="20"/>
  <c r="G15" i="20"/>
  <c r="C14" i="4"/>
  <c r="P15" i="4"/>
  <c r="P14" i="4"/>
  <c r="I14" i="4"/>
  <c r="P13" i="20"/>
  <c r="F13" i="20"/>
  <c r="G18" i="20"/>
  <c r="Q18" i="20"/>
  <c r="N17" i="20"/>
  <c r="V14" i="4"/>
  <c r="U14" i="4"/>
  <c r="V15" i="4"/>
  <c r="P9" i="20"/>
  <c r="F34" i="10"/>
  <c r="N12" i="20" s="1"/>
  <c r="F3" i="10"/>
  <c r="N8" i="20" s="1"/>
  <c r="K12" i="11"/>
  <c r="K39" i="11" s="1"/>
  <c r="D37" i="11"/>
  <c r="Q12" i="20" l="1"/>
  <c r="Q6" i="20"/>
  <c r="Q8" i="20"/>
  <c r="P5" i="20"/>
  <c r="P3" i="20" s="1"/>
  <c r="O9" i="20"/>
  <c r="Q10" i="20"/>
  <c r="Q11" i="20"/>
  <c r="N9" i="20"/>
  <c r="O5" i="20"/>
  <c r="Q7" i="20"/>
  <c r="N5" i="20"/>
  <c r="D13" i="20"/>
  <c r="G13" i="20" s="1"/>
  <c r="G17" i="20"/>
  <c r="Q17" i="20"/>
  <c r="N13" i="20"/>
  <c r="Q13" i="20" s="1"/>
  <c r="I36" i="11"/>
  <c r="J36" i="11"/>
  <c r="M36" i="11"/>
  <c r="E36" i="11"/>
  <c r="N13" i="6"/>
  <c r="N5" i="6"/>
  <c r="N10" i="6"/>
  <c r="N9" i="6"/>
  <c r="N6" i="6"/>
  <c r="H14" i="6"/>
  <c r="N7" i="6"/>
  <c r="N11" i="6"/>
  <c r="B14" i="6"/>
  <c r="N4" i="6"/>
  <c r="N8" i="6"/>
  <c r="N12" i="6"/>
  <c r="J37" i="11"/>
  <c r="F37" i="11"/>
  <c r="G35" i="11"/>
  <c r="G37" i="11"/>
  <c r="F12" i="11"/>
  <c r="F39" i="11" s="1"/>
  <c r="J12" i="11"/>
  <c r="J39" i="11" s="1"/>
  <c r="G12" i="11"/>
  <c r="G39" i="11" s="1"/>
  <c r="K37" i="11"/>
  <c r="K35" i="11"/>
  <c r="E37" i="11"/>
  <c r="I37" i="11"/>
  <c r="M37" i="11"/>
  <c r="H37" i="11"/>
  <c r="L37" i="11"/>
  <c r="F11" i="11"/>
  <c r="G11" i="11"/>
  <c r="D35" i="11"/>
  <c r="F35" i="11"/>
  <c r="J35" i="11"/>
  <c r="E35" i="11"/>
  <c r="I35" i="11"/>
  <c r="M35" i="11"/>
  <c r="H35" i="11"/>
  <c r="L35" i="11"/>
  <c r="J11" i="11"/>
  <c r="K11" i="11"/>
  <c r="L12" i="11"/>
  <c r="L39" i="11" s="1"/>
  <c r="E12" i="11"/>
  <c r="E39" i="11" s="1"/>
  <c r="I12" i="11"/>
  <c r="I39" i="11" s="1"/>
  <c r="M12" i="11"/>
  <c r="M39" i="11" s="1"/>
  <c r="H12" i="11"/>
  <c r="H39" i="11" s="1"/>
  <c r="D12" i="11"/>
  <c r="D39" i="11" s="1"/>
  <c r="E34" i="10"/>
  <c r="D11" i="11"/>
  <c r="H11" i="11"/>
  <c r="L11" i="11"/>
  <c r="E11" i="11"/>
  <c r="I11" i="11"/>
  <c r="M11" i="11"/>
  <c r="E3" i="10"/>
  <c r="O3" i="20" l="1"/>
  <c r="Q9" i="20"/>
  <c r="N3" i="20"/>
  <c r="Q5" i="20"/>
  <c r="I10" i="6"/>
  <c r="J10" i="6" s="1"/>
  <c r="I5" i="6"/>
  <c r="J5" i="6" s="1"/>
  <c r="L34" i="11"/>
  <c r="F12" i="6"/>
  <c r="G12" i="6" s="1"/>
  <c r="C37" i="11"/>
  <c r="H36" i="11"/>
  <c r="I8" i="6"/>
  <c r="J8" i="6" s="1"/>
  <c r="F36" i="11"/>
  <c r="I6" i="6"/>
  <c r="J6" i="6" s="1"/>
  <c r="M38" i="11"/>
  <c r="C13" i="6"/>
  <c r="H38" i="11"/>
  <c r="C8" i="6"/>
  <c r="F34" i="11"/>
  <c r="F6" i="6"/>
  <c r="G6" i="6" s="1"/>
  <c r="M34" i="11"/>
  <c r="F13" i="6"/>
  <c r="G13" i="6" s="1"/>
  <c r="L38" i="11"/>
  <c r="C12" i="6"/>
  <c r="J34" i="11"/>
  <c r="F10" i="6"/>
  <c r="G10" i="6" s="1"/>
  <c r="D38" i="11"/>
  <c r="C4" i="6"/>
  <c r="I34" i="11"/>
  <c r="F9" i="6"/>
  <c r="G9" i="6" s="1"/>
  <c r="I9" i="6"/>
  <c r="J9" i="6" s="1"/>
  <c r="E34" i="11"/>
  <c r="F5" i="6"/>
  <c r="G5" i="6" s="1"/>
  <c r="H34" i="11"/>
  <c r="F8" i="6"/>
  <c r="G8" i="6" s="1"/>
  <c r="D36" i="11"/>
  <c r="I4" i="6"/>
  <c r="G36" i="11"/>
  <c r="I7" i="6"/>
  <c r="J7" i="6" s="1"/>
  <c r="I38" i="11"/>
  <c r="C9" i="6"/>
  <c r="K38" i="11"/>
  <c r="C11" i="6"/>
  <c r="G34" i="11"/>
  <c r="F7" i="6"/>
  <c r="G7" i="6" s="1"/>
  <c r="D34" i="11"/>
  <c r="F4" i="6"/>
  <c r="F38" i="11"/>
  <c r="C6" i="6"/>
  <c r="I13" i="6"/>
  <c r="J13" i="6" s="1"/>
  <c r="E38" i="11"/>
  <c r="C5" i="6"/>
  <c r="J38" i="11"/>
  <c r="C10" i="6"/>
  <c r="K34" i="11"/>
  <c r="F11" i="6"/>
  <c r="G11" i="6" s="1"/>
  <c r="L36" i="11"/>
  <c r="I12" i="6"/>
  <c r="J12" i="6" s="1"/>
  <c r="K36" i="11"/>
  <c r="I11" i="6"/>
  <c r="J11" i="6" s="1"/>
  <c r="G38" i="11"/>
  <c r="C7" i="6"/>
  <c r="C39" i="11"/>
  <c r="C35" i="11"/>
  <c r="C10" i="11"/>
  <c r="J13" i="11"/>
  <c r="I13" i="11"/>
  <c r="G13" i="11"/>
  <c r="C11" i="11"/>
  <c r="H13" i="11"/>
  <c r="C12" i="11"/>
  <c r="K13" i="11"/>
  <c r="C8" i="11"/>
  <c r="C7" i="11"/>
  <c r="F13" i="11"/>
  <c r="M13" i="11"/>
  <c r="E13" i="11"/>
  <c r="D13" i="11"/>
  <c r="L13" i="11"/>
  <c r="Q3" i="20" l="1"/>
  <c r="I40" i="11"/>
  <c r="I15" i="6"/>
  <c r="M40" i="11"/>
  <c r="F40" i="11"/>
  <c r="G40" i="11"/>
  <c r="C36" i="11"/>
  <c r="J40" i="11"/>
  <c r="C34" i="11"/>
  <c r="K40" i="11"/>
  <c r="L40" i="11"/>
  <c r="O10" i="6"/>
  <c r="P10" i="6" s="1"/>
  <c r="O7" i="6"/>
  <c r="P7" i="6" s="1"/>
  <c r="O8" i="6"/>
  <c r="P8" i="6" s="1"/>
  <c r="O6" i="6"/>
  <c r="P6" i="6" s="1"/>
  <c r="O9" i="6"/>
  <c r="P9" i="6" s="1"/>
  <c r="O5" i="6"/>
  <c r="P5" i="6" s="1"/>
  <c r="O12" i="6"/>
  <c r="P12" i="6" s="1"/>
  <c r="O11" i="6"/>
  <c r="P11" i="6" s="1"/>
  <c r="O13" i="6"/>
  <c r="P13" i="6" s="1"/>
  <c r="O4" i="6"/>
  <c r="P4" i="6" s="1"/>
  <c r="C38" i="11"/>
  <c r="F14" i="6"/>
  <c r="C14" i="6"/>
  <c r="G4" i="6"/>
  <c r="G15" i="6" s="1"/>
  <c r="E40" i="11"/>
  <c r="J4" i="6"/>
  <c r="J15" i="6" s="1"/>
  <c r="I14" i="6"/>
  <c r="D40" i="11"/>
  <c r="H40" i="11"/>
  <c r="C9" i="11"/>
  <c r="C13" i="11" s="1"/>
  <c r="D13" i="6"/>
  <c r="D12" i="6"/>
  <c r="D11" i="6"/>
  <c r="D10" i="6"/>
  <c r="D9" i="6"/>
  <c r="D8" i="6"/>
  <c r="D7" i="6"/>
  <c r="D6" i="6"/>
  <c r="D5" i="6"/>
  <c r="D4" i="6"/>
  <c r="J14" i="6" l="1"/>
  <c r="G14" i="6"/>
  <c r="C40" i="11"/>
  <c r="D14" i="6"/>
  <c r="D15" i="6"/>
  <c r="M5" i="4"/>
  <c r="G12" i="4"/>
  <c r="G11" i="4"/>
  <c r="G10" i="4"/>
  <c r="G9" i="4"/>
  <c r="G8" i="4"/>
  <c r="G7" i="4"/>
  <c r="G6" i="4"/>
  <c r="G5" i="4"/>
  <c r="G4" i="4"/>
  <c r="J5" i="4"/>
  <c r="R12" i="4"/>
  <c r="Q12" i="4"/>
  <c r="Q11" i="4"/>
  <c r="Q10" i="4"/>
  <c r="Q9" i="4"/>
  <c r="R8" i="4"/>
  <c r="Q8" i="4"/>
  <c r="G15" i="4" l="1"/>
  <c r="G16" i="20" s="1"/>
  <c r="G14" i="4"/>
  <c r="Q16" i="20" s="1"/>
  <c r="Q5" i="4"/>
  <c r="M6" i="6"/>
  <c r="M10" i="6"/>
  <c r="M7" i="6"/>
  <c r="M11" i="6"/>
  <c r="M4" i="6"/>
  <c r="M8" i="6"/>
  <c r="M12" i="6"/>
  <c r="Q6" i="4"/>
  <c r="M5" i="6"/>
  <c r="M9" i="6"/>
  <c r="M13" i="6"/>
  <c r="Q13" i="4"/>
  <c r="S13" i="4" s="1"/>
  <c r="Q7" i="4"/>
  <c r="J13" i="4"/>
  <c r="R9" i="4"/>
  <c r="J9" i="4"/>
  <c r="J7" i="4"/>
  <c r="M13" i="4"/>
  <c r="M12" i="4"/>
  <c r="M9" i="4"/>
  <c r="M8" i="4"/>
  <c r="R11" i="4"/>
  <c r="R10" i="4"/>
  <c r="R7" i="4"/>
  <c r="R6" i="4"/>
  <c r="S8" i="4"/>
  <c r="S12" i="4"/>
  <c r="M7" i="4"/>
  <c r="M6" i="4"/>
  <c r="M11" i="4"/>
  <c r="M10" i="4"/>
  <c r="D8" i="4"/>
  <c r="J11" i="4"/>
  <c r="D12" i="4"/>
  <c r="M14" i="4" l="1"/>
  <c r="M15" i="4"/>
  <c r="M14" i="6"/>
  <c r="M15" i="6"/>
  <c r="B11" i="2"/>
  <c r="D5" i="4"/>
  <c r="B6" i="2"/>
  <c r="E5" i="2"/>
  <c r="Q14" i="4"/>
  <c r="B7" i="2"/>
  <c r="J12" i="4"/>
  <c r="J10" i="4"/>
  <c r="J6" i="4"/>
  <c r="J8" i="4"/>
  <c r="D9" i="4"/>
  <c r="R5" i="4"/>
  <c r="D4" i="4"/>
  <c r="F8" i="2"/>
  <c r="C4" i="2"/>
  <c r="D13" i="4"/>
  <c r="S11" i="4"/>
  <c r="D11" i="4"/>
  <c r="D10" i="4"/>
  <c r="S9" i="4"/>
  <c r="D7" i="4"/>
  <c r="S7" i="4"/>
  <c r="S6" i="4"/>
  <c r="J4" i="4"/>
  <c r="D6" i="4"/>
  <c r="S10" i="4"/>
  <c r="D14" i="4" l="1"/>
  <c r="J14" i="4"/>
  <c r="J15" i="4"/>
  <c r="D15" i="4"/>
  <c r="E11" i="2"/>
  <c r="E6" i="2"/>
  <c r="B5" i="2"/>
  <c r="B13" i="2"/>
  <c r="E13" i="2"/>
  <c r="E10" i="2"/>
  <c r="B10" i="2"/>
  <c r="E7" i="2"/>
  <c r="N14" i="6"/>
  <c r="B8" i="2"/>
  <c r="E8" i="2"/>
  <c r="G8" i="2" s="1"/>
  <c r="J8" i="2" s="1"/>
  <c r="E4" i="2"/>
  <c r="E12" i="2"/>
  <c r="B12" i="2"/>
  <c r="E9" i="2"/>
  <c r="B9" i="2"/>
  <c r="B4" i="2"/>
  <c r="R14" i="4"/>
  <c r="F5" i="2"/>
  <c r="G5" i="2" s="1"/>
  <c r="J5" i="2" s="1"/>
  <c r="F12" i="2"/>
  <c r="F11" i="2"/>
  <c r="C10" i="2"/>
  <c r="S5" i="4"/>
  <c r="C6" i="2"/>
  <c r="D6" i="2" s="1"/>
  <c r="I6" i="2" s="1"/>
  <c r="F6" i="2"/>
  <c r="F4" i="2"/>
  <c r="C13" i="2"/>
  <c r="C12" i="2"/>
  <c r="C11" i="2"/>
  <c r="D11" i="2" s="1"/>
  <c r="I11" i="2" s="1"/>
  <c r="C9" i="2"/>
  <c r="C8" i="2"/>
  <c r="C7" i="2"/>
  <c r="D7" i="2" s="1"/>
  <c r="I7" i="2" s="1"/>
  <c r="F7" i="2"/>
  <c r="C5" i="2"/>
  <c r="O14" i="6"/>
  <c r="F13" i="2"/>
  <c r="F10" i="2"/>
  <c r="F9" i="2"/>
  <c r="S14" i="4" l="1"/>
  <c r="S15" i="4"/>
  <c r="P15" i="6"/>
  <c r="J17" i="2" s="1"/>
  <c r="B2" i="7" s="1"/>
  <c r="C42" i="7" s="1"/>
  <c r="G6" i="2"/>
  <c r="J6" i="2" s="1"/>
  <c r="G11" i="2"/>
  <c r="J11" i="2" s="1"/>
  <c r="G4" i="2"/>
  <c r="G9" i="2"/>
  <c r="J9" i="2" s="1"/>
  <c r="D13" i="2"/>
  <c r="I13" i="2" s="1"/>
  <c r="D5" i="2"/>
  <c r="I5" i="2" s="1"/>
  <c r="D12" i="2"/>
  <c r="I12" i="2" s="1"/>
  <c r="G7" i="2"/>
  <c r="J7" i="2" s="1"/>
  <c r="G13" i="2"/>
  <c r="J13" i="2" s="1"/>
  <c r="G12" i="2"/>
  <c r="J12" i="2" s="1"/>
  <c r="D8" i="2"/>
  <c r="I8" i="2" s="1"/>
  <c r="E14" i="2"/>
  <c r="G10" i="2"/>
  <c r="J10" i="2" s="1"/>
  <c r="D10" i="2"/>
  <c r="I10" i="2" s="1"/>
  <c r="D9" i="2"/>
  <c r="I9" i="2" s="1"/>
  <c r="B14" i="2"/>
  <c r="D4" i="2"/>
  <c r="P14" i="6"/>
  <c r="C14" i="2"/>
  <c r="F14" i="2"/>
  <c r="J18" i="2" l="1"/>
  <c r="F7" i="7"/>
  <c r="C26" i="7"/>
  <c r="C7" i="7"/>
  <c r="O7" i="7"/>
  <c r="R7" i="7"/>
  <c r="L7" i="7"/>
  <c r="I7" i="7"/>
  <c r="J4" i="2"/>
  <c r="K4" i="2" s="1"/>
  <c r="J19" i="2"/>
  <c r="I4" i="2"/>
  <c r="I14" i="2" s="1"/>
  <c r="J21" i="2" s="1"/>
  <c r="G14" i="2"/>
  <c r="D14" i="2"/>
  <c r="J14" i="2" l="1"/>
  <c r="J22" i="2" s="1"/>
  <c r="K5" i="2"/>
  <c r="K6" i="2" s="1"/>
  <c r="K7" i="2" s="1"/>
  <c r="K8" i="2" s="1"/>
  <c r="K9" i="2" s="1"/>
  <c r="K10" i="2" s="1"/>
  <c r="K11" i="2" s="1"/>
  <c r="K12" i="2" s="1"/>
  <c r="K13" i="2" s="1"/>
  <c r="L4" i="2"/>
  <c r="L5" i="2" l="1"/>
  <c r="L6" i="2" s="1"/>
  <c r="L7" i="2" s="1"/>
  <c r="L8" i="2" s="1"/>
  <c r="L9" i="2" s="1"/>
  <c r="L10" i="2" s="1"/>
  <c r="L11" i="2" s="1"/>
  <c r="L12" i="2" s="1"/>
  <c r="L13" i="2" s="1"/>
  <c r="C24"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KPMG</author>
  </authors>
  <commentList>
    <comment ref="I14" authorId="0" shapeId="0" xr:uid="{00000000-0006-0000-0300-000001000000}">
      <text>
        <r>
          <rPr>
            <sz val="8"/>
            <color indexed="81"/>
            <rFont val="Tahoma"/>
            <family val="2"/>
            <charset val="238"/>
          </rPr>
          <t>ocakavame zapornu hodnotu
tato zaporna hodnota ma zodpovedat max. fin. pomoci z SF</t>
        </r>
      </text>
    </comment>
    <comment ref="J14" authorId="0" shapeId="0" xr:uid="{00000000-0006-0000-0300-000002000000}">
      <text>
        <r>
          <rPr>
            <sz val="8"/>
            <color indexed="81"/>
            <rFont val="Tahoma"/>
            <family val="2"/>
            <charset val="238"/>
          </rPr>
          <t>ocakavame kladnu hodnotu (moze byt aj nizko nad nulou)</t>
        </r>
      </text>
    </comment>
  </commentList>
</comments>
</file>

<file path=xl/sharedStrings.xml><?xml version="1.0" encoding="utf-8"?>
<sst xmlns="http://schemas.openxmlformats.org/spreadsheetml/2006/main" count="2047" uniqueCount="704">
  <si>
    <t>Názov</t>
  </si>
  <si>
    <t>Popis</t>
  </si>
  <si>
    <t>Hodnota</t>
  </si>
  <si>
    <t>Životnosť projektu (t)</t>
  </si>
  <si>
    <t>Referenčné obdobie je počet rokov, na ktorý sa vo finančnej analýze (analýze nákladov a výnosov) uvádzajú predpovede. Predpovede týkajúce sa budúceho trendu projektu by sa mali formulovať na obdobie, ktoré je primerané jeho ekonomicky užitočnému trvaniu a ktoré je dosť dlhé na to, aby zahŕňalo jeho pravdepodobné dlhodobejšie dosahy. Ide o časové obdobie, kedy je možné overiť úspešnosť investície. Trvanie sa mení podľa povahy investície. Referenčný časový horizont v rokoch podľa sektorov je uvedený podľa prílohy 1 Delegovaného nariadenia Komisie (EÚ) 480/2014 z 3. marca 2014, ktorým sa dopĺňa všeobecné nariadenie.</t>
  </si>
  <si>
    <t>Referenčná diskontná sadzba (i)</t>
  </si>
  <si>
    <t>Sociálna diskontná sadzba (r)</t>
  </si>
  <si>
    <t>Cieľom CBA je preukázať pri štrukturálne významných investíciách, že ekonomická čistá súčasná hodnota za dané obdobie a pri stanovenej sociálnej diskontnej sadzbe je kladná.</t>
  </si>
  <si>
    <t>Diskontovanie odhadovaných nákladov a prínosov: keď sa odhadne tok ekonomických nákladov a prínosov, mala by sa uplatniť štandardná diskontovaná metodika peňažného toku pomocou sociálnej diskontnej sadzby</t>
  </si>
  <si>
    <t>Jednotka</t>
  </si>
  <si>
    <t>rok</t>
  </si>
  <si>
    <t>%</t>
  </si>
  <si>
    <t>EUR</t>
  </si>
  <si>
    <t xml:space="preserve">Diskontná sadzba, ktorá sa má používať vo finančnej analýze má informovať investora o alternatívnych kapitálových nákladoch. Môže sa za ňu považovať ušlý výnos najlepšieho alternatívneho projektu.
V prípade verejných investičných projektov spolufinancovaných z fondov sa stanovuje 4 % finančná diskontná sadzbu pre výpočet čistej súčasnej hodnoty investície v stálych cenách roku predloženia žiadosti o NFP.
</t>
  </si>
  <si>
    <t>EUR/hod</t>
  </si>
  <si>
    <t>Čistá súčasná hodnota z projektu</t>
  </si>
  <si>
    <t>Finančné prínosy</t>
  </si>
  <si>
    <t>Ekonomické prínosy</t>
  </si>
  <si>
    <t>koeficient obdobia</t>
  </si>
  <si>
    <t>Finančná (FNPV)</t>
  </si>
  <si>
    <t>Ekonomická (ENPV)</t>
  </si>
  <si>
    <t>Kumulovaná diskont. návratnosť ENPV</t>
  </si>
  <si>
    <t>Obdobie</t>
  </si>
  <si>
    <t>Alternat. 1</t>
  </si>
  <si>
    <t>Alternat. 2</t>
  </si>
  <si>
    <t>rozdiel</t>
  </si>
  <si>
    <t>t1</t>
  </si>
  <si>
    <t>t2</t>
  </si>
  <si>
    <t>t3</t>
  </si>
  <si>
    <t>t4</t>
  </si>
  <si>
    <t>t5</t>
  </si>
  <si>
    <t>t6</t>
  </si>
  <si>
    <t>t7</t>
  </si>
  <si>
    <t>t8</t>
  </si>
  <si>
    <t>t9</t>
  </si>
  <si>
    <t>t10</t>
  </si>
  <si>
    <t>SPOLU</t>
  </si>
  <si>
    <t>Cashflow projektu</t>
  </si>
  <si>
    <t>Finančný cashflow</t>
  </si>
  <si>
    <t>Ekonomický cashflow</t>
  </si>
  <si>
    <t>počet / rok</t>
  </si>
  <si>
    <t>Kvalitatívne prínosy</t>
  </si>
  <si>
    <t>Parameter</t>
  </si>
  <si>
    <t>Počet podaní</t>
  </si>
  <si>
    <t>Priame prínosy</t>
  </si>
  <si>
    <t>Nepriame prínosy</t>
  </si>
  <si>
    <t>Prínosy spolu</t>
  </si>
  <si>
    <t>Administratívne poplatky</t>
  </si>
  <si>
    <t>Ostatné daňové a nedaňové príjmy</t>
  </si>
  <si>
    <t>Kvalitatívne prínosy vo finančnom vyjadrení</t>
  </si>
  <si>
    <t>Organizácia</t>
  </si>
  <si>
    <t>Ulica</t>
  </si>
  <si>
    <t>PSČ</t>
  </si>
  <si>
    <t>Web</t>
  </si>
  <si>
    <t>IČO</t>
  </si>
  <si>
    <t>Spracovateľ</t>
  </si>
  <si>
    <t xml:space="preserve">Kontakt na spracovateľa    </t>
  </si>
  <si>
    <t>Hlavička tabuľky</t>
  </si>
  <si>
    <t>Popisná informácia</t>
  </si>
  <si>
    <t>Metodický pokyn k vypracovaniu finančnej analýzy projektu, analýzy nákladov a prínosov projektu a finančnej analýzy žiadateľa o NFP v programovom období 2014 – 2020.</t>
  </si>
  <si>
    <t>Jednotlivé informácie sú farebne odlíšené nasledovne:</t>
  </si>
  <si>
    <t>Automaticky vypočitavané hodnoty</t>
  </si>
  <si>
    <t>Miesto na vpisovanie vlastných hodnôt</t>
  </si>
  <si>
    <t>Preddefinované konštanty</t>
  </si>
  <si>
    <t>Pre projekty zamerané na služby agendových informačných systémov</t>
  </si>
  <si>
    <t>HW</t>
  </si>
  <si>
    <t>SW</t>
  </si>
  <si>
    <t>Všeobecný materiál</t>
  </si>
  <si>
    <t>Variabilné výdavky</t>
  </si>
  <si>
    <t>Výdavky spolu</t>
  </si>
  <si>
    <t>ENPV</t>
  </si>
  <si>
    <t>Obstaranie, inštalácia SW produktu vrátane licencie k SW</t>
  </si>
  <si>
    <t>013 Softvér</t>
  </si>
  <si>
    <t>Kód EKO klasifikácie</t>
  </si>
  <si>
    <t>Účet/skupina výdavkov</t>
  </si>
  <si>
    <t>Vytvorenie aplikácie</t>
  </si>
  <si>
    <t>Školenia spojené so SW a aplikáciou</t>
  </si>
  <si>
    <t>518 Ostatné služby</t>
  </si>
  <si>
    <t>Prevádzka vytvoreného riešenia</t>
  </si>
  <si>
    <t>Poplatky vlastníkovi SW produktu - údržba / support k licenciám</t>
  </si>
  <si>
    <t>511 Opravy a udržiavanie</t>
  </si>
  <si>
    <t>Upgrade SW produktu</t>
  </si>
  <si>
    <t>Poplatky za udržanie funkčnosti / dostupnosti aplikácie / update</t>
  </si>
  <si>
    <t>Aplikačná podpora / helpdesk</t>
  </si>
  <si>
    <t>Rozvoj - doplnenie funkcionality aplikácie / upgrade</t>
  </si>
  <si>
    <t>Personálne náklady spojené s prevádzkou SW produktu a aplikácie</t>
  </si>
  <si>
    <t>521 Mzdové výdavky</t>
  </si>
  <si>
    <t>Obstaranie</t>
  </si>
  <si>
    <t>Prevádzka riešenia</t>
  </si>
  <si>
    <t>Nákup, inštalácia a sprevádzkovanie HW 
vrátane systémového SW</t>
  </si>
  <si>
    <t>Nákup, inštalácia a sprevádzkovanie HW
 vrátane systémového SW</t>
  </si>
  <si>
    <t>Školenia spojené s HW</t>
  </si>
  <si>
    <t>022 Samostatné hnuteľné veci
 a súbory hnuteľných vecí</t>
  </si>
  <si>
    <t>Poplatky dodávateľovi podpory HW - údržba/maintenance</t>
  </si>
  <si>
    <t>Upgrade HW</t>
  </si>
  <si>
    <t>Náklady na priestory, energie</t>
  </si>
  <si>
    <t>Personálne náklady spojené s prevádzkou HW</t>
  </si>
  <si>
    <t>Náklady na obstaranie a prevádzku HW</t>
  </si>
  <si>
    <t>Náklady na obstaranie a prevádzku SW</t>
  </si>
  <si>
    <t>Celkové náklady na vlastníctvo (TCO)</t>
  </si>
  <si>
    <t>Rok</t>
  </si>
  <si>
    <t>HW sumár obstaranie</t>
  </si>
  <si>
    <t>HW sumár prevádzka</t>
  </si>
  <si>
    <t xml:space="preserve">Spolu </t>
  </si>
  <si>
    <t>Spolu</t>
  </si>
  <si>
    <t>SW produkty</t>
  </si>
  <si>
    <t>Aplikácie</t>
  </si>
  <si>
    <t>SW produkty - sumár obstaranie</t>
  </si>
  <si>
    <t>SW produkty - sumár prevádzka</t>
  </si>
  <si>
    <t>Aplikácie - sumár obstaranie</t>
  </si>
  <si>
    <t>Aplikácie - sumár prevádzka</t>
  </si>
  <si>
    <t xml:space="preserve">Prvý rok, ktorým výpočet CBA a TCO začína, rok začatia projektu </t>
  </si>
  <si>
    <t>Príloha pre výpočet TCO a čistej súčasnej hodnoty z projektu</t>
  </si>
  <si>
    <t>Názov riešenia</t>
  </si>
  <si>
    <t>112 Zásoby</t>
  </si>
  <si>
    <t>Náklady na existujúce riešenie
(pôvodné riešenie pred realizáciou projektu OP II), ktoré bolo nahradené</t>
  </si>
  <si>
    <t>Kód ISVS z MetaIS</t>
  </si>
  <si>
    <t>Číslo projektu ITMS</t>
  </si>
  <si>
    <t>Vytvorenie riešenia - obstaranie</t>
  </si>
  <si>
    <t>BCR</t>
  </si>
  <si>
    <t>Počet dní externé</t>
  </si>
  <si>
    <t>Rate FTE externé</t>
  </si>
  <si>
    <t>Suma externé</t>
  </si>
  <si>
    <t>Rozdiel</t>
  </si>
  <si>
    <t>NPV</t>
  </si>
  <si>
    <t>HW (aj systémový SW) sumár obstaranie</t>
  </si>
  <si>
    <t>HW (aj systémový SW) sumár prevádzka</t>
  </si>
  <si>
    <t>Výsledná hodnota</t>
  </si>
  <si>
    <t>Všetky prínosové položky sú automaticky vypočítané na základe údajov uvedených v záložkách TCO, spotrebované cloudové služby a Parametre - Agendové IS</t>
  </si>
  <si>
    <t>Všetky výdavkové položky sú automaticky vypočítané na základe údajov uvedených v záložkách TCO a Parametre - Agendové IS</t>
  </si>
  <si>
    <t>FIRR</t>
  </si>
  <si>
    <t>EIRR</t>
  </si>
  <si>
    <t>FNPV</t>
  </si>
  <si>
    <t>pomer prínosov a nákladov</t>
  </si>
  <si>
    <t>finančná vnútorná výnosová miera (%)</t>
  </si>
  <si>
    <t>ekonomická vnútorná výnosová miera (%)</t>
  </si>
  <si>
    <t>finančná čistá súčasná hodnota (eur)</t>
  </si>
  <si>
    <t>ekonomická čistá súčasná hodnota (eur)</t>
  </si>
  <si>
    <t>Minimálna hodnota</t>
  </si>
  <si>
    <t>-</t>
  </si>
  <si>
    <t>Výsledok CBA</t>
  </si>
  <si>
    <t>Aktuálna priemerná mesačná hrubá mzda vo verejnej správe podľa ŠÚ SR</t>
  </si>
  <si>
    <t>Priemerná mzda vo verejnej správe (aktuálna, W_ps)</t>
  </si>
  <si>
    <t>Náklady IT systém</t>
  </si>
  <si>
    <t>FTE úradník</t>
  </si>
  <si>
    <t>FTE</t>
  </si>
  <si>
    <t>človeko-hod.</t>
  </si>
  <si>
    <t>Materiálové náklady</t>
  </si>
  <si>
    <t>Náklady na budúce riešenie</t>
  </si>
  <si>
    <t>Zníženie kvalitatívnych prínosov</t>
  </si>
  <si>
    <t>Zníženie očakávaného ušetreného času úradníka</t>
  </si>
  <si>
    <t>Zníženie očakávaného ušetreného času používateľa</t>
  </si>
  <si>
    <t>Zníženie počtu podaní v budúcom stave</t>
  </si>
  <si>
    <t>Zvýšenie nákladov - TCO celkovo</t>
  </si>
  <si>
    <t>Zvýšenie CAPEX</t>
  </si>
  <si>
    <t>Rozdiel v nákladoch medzi existujúcim a navrhovaným riešením</t>
  </si>
  <si>
    <t>Náklady</t>
  </si>
  <si>
    <t>Prínosy</t>
  </si>
  <si>
    <t xml:space="preserve">Úradníci (€) </t>
  </si>
  <si>
    <t>Občania (€)</t>
  </si>
  <si>
    <t>Úradníci (FTE)</t>
  </si>
  <si>
    <t>Alt. 2 - Alt. 1 (€, SUM)</t>
  </si>
  <si>
    <t>Alt. 2 - Alt. 1 (€, NPV)</t>
  </si>
  <si>
    <t>IT - CAPEX</t>
  </si>
  <si>
    <t>IT - OPEX</t>
  </si>
  <si>
    <t>N/A</t>
  </si>
  <si>
    <t>Nevyčíslené spoločenské prínosy</t>
  </si>
  <si>
    <t>...</t>
  </si>
  <si>
    <t>Aplikačný modul - SW a Aplikácie</t>
  </si>
  <si>
    <t>Aplikačný modul - HW</t>
  </si>
  <si>
    <t>(prosíme doplniť)...</t>
  </si>
  <si>
    <t>Procesný krok č. 1</t>
  </si>
  <si>
    <t>Procesný krok č. 2</t>
  </si>
  <si>
    <t>Procesný krok č. 3</t>
  </si>
  <si>
    <t>Zdroj</t>
  </si>
  <si>
    <t>Meranie č. 1</t>
  </si>
  <si>
    <t>Meranie č. 2</t>
  </si>
  <si>
    <t>Meranie č. 3</t>
  </si>
  <si>
    <t>Meranie č. 4</t>
  </si>
  <si>
    <t>Meranie č. 5</t>
  </si>
  <si>
    <t>Meranie č. 6</t>
  </si>
  <si>
    <t>Meranie č. 7</t>
  </si>
  <si>
    <t>Meranie č. 8</t>
  </si>
  <si>
    <t>Meranie č. 9</t>
  </si>
  <si>
    <t>Meranie č. 10</t>
  </si>
  <si>
    <t>Meranie č. 11</t>
  </si>
  <si>
    <t>Meranie č. 12</t>
  </si>
  <si>
    <t>Meranie č. 13</t>
  </si>
  <si>
    <t>Meranie č. 14</t>
  </si>
  <si>
    <t>Meranie č. 15</t>
  </si>
  <si>
    <t>Meranie č. 16</t>
  </si>
  <si>
    <t>Meranie č. 17</t>
  </si>
  <si>
    <t>Meranie č. 18</t>
  </si>
  <si>
    <t>Meranie č. 19</t>
  </si>
  <si>
    <t>Meranie č. 20</t>
  </si>
  <si>
    <t>Meranie č. 21</t>
  </si>
  <si>
    <t>Meranie č. 22</t>
  </si>
  <si>
    <t>Meranie č. 23</t>
  </si>
  <si>
    <t>Meranie č. 24</t>
  </si>
  <si>
    <t>Meranie č. 25</t>
  </si>
  <si>
    <t>Meranie č. 26</t>
  </si>
  <si>
    <t>Meranie č. 27</t>
  </si>
  <si>
    <t>Meranie č. 28</t>
  </si>
  <si>
    <t>Meranie č. 29</t>
  </si>
  <si>
    <t>Meranie č. 30</t>
  </si>
  <si>
    <t>Zoznam hárkov s vysvetlením a pokynmi</t>
  </si>
  <si>
    <t>Sumarizácia</t>
  </si>
  <si>
    <t>CBA</t>
  </si>
  <si>
    <t>Analyza citlivosti</t>
  </si>
  <si>
    <t>Výdavky</t>
  </si>
  <si>
    <t>Parametre</t>
  </si>
  <si>
    <t>TCO</t>
  </si>
  <si>
    <t>TCO Alt. 1 - SW</t>
  </si>
  <si>
    <t>TCO Alt. 1 - HW</t>
  </si>
  <si>
    <t>TCO Alt. 2 - SW</t>
  </si>
  <si>
    <t>TCO Alt. 2 - HW</t>
  </si>
  <si>
    <t>Rozpočet - vývoj aplikácii</t>
  </si>
  <si>
    <t>Slepý rozpočet</t>
  </si>
  <si>
    <t>Faktory</t>
  </si>
  <si>
    <t>Meranie prínosov</t>
  </si>
  <si>
    <t>Procesné mapy</t>
  </si>
  <si>
    <t>Procesy AS IS</t>
  </si>
  <si>
    <t>Procesy TO BE</t>
  </si>
  <si>
    <t>Hárok</t>
  </si>
  <si>
    <t>Účel hárku</t>
  </si>
  <si>
    <t>Vymenovanie a popísanie nevyčíslených spoločenských prínosov</t>
  </si>
  <si>
    <t>Sumarizácia výsledkov CBA podľa prínosov a modulov</t>
  </si>
  <si>
    <t>Výsledky CBA na agregátnej úrovni, výpočet BCR</t>
  </si>
  <si>
    <t>Žiadne</t>
  </si>
  <si>
    <t>Vstupy od zhotoviteľa (žlté polia)</t>
  </si>
  <si>
    <t>Automatický výpočet citlivosti výsledkov CBA na zmeny parametrov</t>
  </si>
  <si>
    <t>Výpočet prínosov projektu na základe vstupných parametrov</t>
  </si>
  <si>
    <t>Výpočet výdavkov projektu na základe vstupných parametrov</t>
  </si>
  <si>
    <t>Polia "Ostatné daňové a nedaňové príjmy" (ak projekt také generuje)</t>
  </si>
  <si>
    <t>Vstupné parametre pre jednotlivé moduly/životné situácie: počty podaní, trvania času</t>
  </si>
  <si>
    <t>Všetky relevantné žlté polia</t>
  </si>
  <si>
    <t>Zhrnutie celkových nákladov na vlastníctvo oboch alternatív projektu</t>
  </si>
  <si>
    <t xml:space="preserve">Náklady na vlastníctvo softvéru alternatívy 1 (AS IS) </t>
  </si>
  <si>
    <t xml:space="preserve">Náklady na vlastníctvo hardvéru alternatívy 1 (AS IS) </t>
  </si>
  <si>
    <t xml:space="preserve">Náklady na vlastníctvo softvéru alternatívy 2 (TO BE) </t>
  </si>
  <si>
    <t>Náklady na vlastníctvo hardvéru alternatívy 2 (TO BE)</t>
  </si>
  <si>
    <t>Detailný rozpočet navrhovaného riešenia (TO BE)</t>
  </si>
  <si>
    <t>Všetky relevantné žlté polia a časové trvanie projektu</t>
  </si>
  <si>
    <t>Vyplnia dodávateľia, oslovení v procese trhovej konzultácie</t>
  </si>
  <si>
    <t>Zoznam modulov s ich opisom a harmonogramom</t>
  </si>
  <si>
    <t>Spoločné vstupné parametre pre ocenenie prínosov a výpočet CBA</t>
  </si>
  <si>
    <t>Aktuálne priemerné mzdy v hospodárstve podľa ŠÚ SR, rok začiatku projektu</t>
  </si>
  <si>
    <t xml:space="preserve">Slúži na rozdelenie prínosov podľa jednotlivých úradov (ak je to možné) 
a na ex-post monitorovanie dosahovania prínosov. </t>
  </si>
  <si>
    <t xml:space="preserve">V procese prípravy štúdie vyplní iba žlté stĺpce označené ako "Alt. 2", ktoré rozdeľujú prínosy podľa úradov </t>
  </si>
  <si>
    <t>Procesné mapy súčasného a budúceho stavu biznis procesov.</t>
  </si>
  <si>
    <t>Procesné mapy ako obrázky.</t>
  </si>
  <si>
    <t xml:space="preserve">Zdroj dát pre odhad časovej náročnosti súčasných procesov. </t>
  </si>
  <si>
    <t xml:space="preserve">Zdroj dát pre odhad časovej náročnosti budúcich procesov. </t>
  </si>
  <si>
    <t>Relevantné merania podľa procesov a procesných krokov.</t>
  </si>
  <si>
    <t>Richard Hollý</t>
  </si>
  <si>
    <t>richard.holly@nczisk.sk</t>
  </si>
  <si>
    <t>Výstup projektu</t>
  </si>
  <si>
    <t>Funkcionalita</t>
  </si>
  <si>
    <t>Začiatok</t>
  </si>
  <si>
    <t>Koniec</t>
  </si>
  <si>
    <t>Dĺžka trvania</t>
  </si>
  <si>
    <t>Počet FTE externé</t>
  </si>
  <si>
    <t>Checksum</t>
  </si>
  <si>
    <t>Dokumentácia</t>
  </si>
  <si>
    <t>Dokumentácia počas projektu</t>
  </si>
  <si>
    <t>Spresnenie business požiadaviek</t>
  </si>
  <si>
    <t>Analýza a dizajn</t>
  </si>
  <si>
    <t>Implementácia</t>
  </si>
  <si>
    <t>Testovanie</t>
  </si>
  <si>
    <t>Nasadenie</t>
  </si>
  <si>
    <t>IAM</t>
  </si>
  <si>
    <t>Informačná bezpečnosť riešenia</t>
  </si>
  <si>
    <t>Informačná bezpečnosť riešenia počas projektu</t>
  </si>
  <si>
    <t>Podporné aktivity</t>
  </si>
  <si>
    <t>Podporné aktivity - UPVII - Projektové riadenie</t>
  </si>
  <si>
    <t>Podporné aktivity - UPVII - Publicita</t>
  </si>
  <si>
    <t>Riadenie implementácie projektu</t>
  </si>
  <si>
    <t>Suma (s DPH)</t>
  </si>
  <si>
    <t>Dokončenie</t>
  </si>
  <si>
    <t>Počet dní (Prácnosť)</t>
  </si>
  <si>
    <t>Analýza a dizajn riešenia – integrácia na iný ISVS</t>
  </si>
  <si>
    <t>Analýza a dizajn riešenia – integrácia na MPI</t>
  </si>
  <si>
    <t>Analýza a dizajn riešenia okrem integrácie</t>
  </si>
  <si>
    <t>Implementácia riešenia – integrácia na iný ISVS</t>
  </si>
  <si>
    <t>Implementácia riešenia okrem integrácie</t>
  </si>
  <si>
    <t>Testovanie riešenia – integrácia na iný ISVS</t>
  </si>
  <si>
    <t>Testovanie riešenia okrem integrácie</t>
  </si>
  <si>
    <t>Nasadenie riešenia – integrácia na iný ISVS</t>
  </si>
  <si>
    <t>Nasadenie riešenia okrem integrácie</t>
  </si>
  <si>
    <t>Podporné aktivity - Riadenie projektu</t>
  </si>
  <si>
    <t>Podporné aktivity - Publicita a informovanosť</t>
  </si>
  <si>
    <t>Quality assurance</t>
  </si>
  <si>
    <t>Rok ukončenia projektu</t>
  </si>
  <si>
    <t>Resource Name</t>
  </si>
  <si>
    <t>Type</t>
  </si>
  <si>
    <t>Std. Rate/hr</t>
  </si>
  <si>
    <t>Std. Rate/d+VAT</t>
  </si>
  <si>
    <t>Projektový manažér</t>
  </si>
  <si>
    <t>Work</t>
  </si>
  <si>
    <t>Business analytik</t>
  </si>
  <si>
    <t>Analytik</t>
  </si>
  <si>
    <t>Programátor</t>
  </si>
  <si>
    <t>Tester</t>
  </si>
  <si>
    <t>Administrátor</t>
  </si>
  <si>
    <t>Školiteľ</t>
  </si>
  <si>
    <t>Dokumentarista</t>
  </si>
  <si>
    <t>Expert na kvalitu</t>
  </si>
  <si>
    <t>Expert na informačnú bezpečnosť</t>
  </si>
  <si>
    <t>čas (hod.)</t>
  </si>
  <si>
    <t xml:space="preserve">Procesy na strane úradníka (časové hodnoty) </t>
  </si>
  <si>
    <t>Procesný krok č. 4</t>
  </si>
  <si>
    <t>Procesný krok č. 5</t>
  </si>
  <si>
    <t>Procesný krok č. 6</t>
  </si>
  <si>
    <t>Procesný krok č. 7</t>
  </si>
  <si>
    <t>PRÍKLAD</t>
  </si>
  <si>
    <t>Popis procesných krokov:</t>
  </si>
  <si>
    <t>TO-BE (proposed)</t>
  </si>
  <si>
    <t>AS-IS (avg)</t>
  </si>
  <si>
    <t>Odhadovana % miera nakladov na ročnú podporu -  odvodená z ceny vývoja</t>
  </si>
  <si>
    <t>Projektový manažér IT projektu</t>
  </si>
  <si>
    <t>IT analytik</t>
  </si>
  <si>
    <t>IT programátor/vývojár</t>
  </si>
  <si>
    <t>IT tester</t>
  </si>
  <si>
    <t>Špecialista pre infraštruktúry/HW špecialista</t>
  </si>
  <si>
    <t>Školiteľ pre IT systémy</t>
  </si>
  <si>
    <t>Iné (pozícia, ktorú nie je možné zaradiť do vyššie uvedených pozícií)</t>
  </si>
  <si>
    <t>Odborník pre IT dohľad/ Quality Assurance</t>
  </si>
  <si>
    <t>Špecialista pre bezpečnosť IT</t>
  </si>
  <si>
    <t>Diff/d</t>
  </si>
  <si>
    <t>Limity podľa príručky Príloha č.1</t>
  </si>
  <si>
    <t>Názov ISVS</t>
  </si>
  <si>
    <t>Rozpočet</t>
  </si>
  <si>
    <t>Procesný krok č. 8</t>
  </si>
  <si>
    <t>Po 10.2.20</t>
  </si>
  <si>
    <t>Podporné aktivity - NCZI - Projektové riadenie</t>
  </si>
  <si>
    <t>Podporné aktivity - NCZI - Publicita</t>
  </si>
  <si>
    <t>OPE prostredie v cloude</t>
  </si>
  <si>
    <t>Infraštruktúra OPE</t>
  </si>
  <si>
    <t>Integrácia na CSRU</t>
  </si>
  <si>
    <t>Nasadenie rozhrania výmeny údajov na strane integrovaných subjektov</t>
  </si>
  <si>
    <t>OPE - riešenie centrálneho repozitára údajov</t>
  </si>
  <si>
    <t>OPE - riešenie MDM</t>
  </si>
  <si>
    <t>OPE - riešenie orchestrácie</t>
  </si>
  <si>
    <t>OPE - riešenie systému výmeny údajov</t>
  </si>
  <si>
    <t>Riešenie certifikačnej autority</t>
  </si>
  <si>
    <t>Riešenie registrácie, ukončenia platnosti kapitačných vzťahov (vzťah medzi PZS a PrZS) a zastupovania PZS</t>
  </si>
  <si>
    <t>Riešenie registrácie, ukončenia platnosti poistných vzťahov (vzťah medzi ZP a PrZS)</t>
  </si>
  <si>
    <t>Riešenie registrácie, ukončenia platnosti poskytoovateľa zdravotnej starostlivosti</t>
  </si>
  <si>
    <t>Riešenie registrácie, ukončenia platnosti pracovno-právnych vzťahov (PZS a ZPr)</t>
  </si>
  <si>
    <t>Riešenie registrácie, ukončenia platnosti príjmateľa zdravotnej starostlivosti</t>
  </si>
  <si>
    <t>Riešenie registrácie, ukončenia platnosti zdravotníckeho pracovníka</t>
  </si>
  <si>
    <t>Riešenie registrácie, ukončenia platnosti zmluvných vzťahov medzi ZP a PZS</t>
  </si>
  <si>
    <t>Riešenie výmeny zdrojových údajov</t>
  </si>
  <si>
    <t>Úpravy ISZI</t>
  </si>
  <si>
    <t>Úpravy NZIS</t>
  </si>
  <si>
    <t>JRUZ</t>
  </si>
  <si>
    <t>ISZI</t>
  </si>
  <si>
    <t>Počet aktivít</t>
  </si>
  <si>
    <t>Počet narodených detí</t>
  </si>
  <si>
    <t>Priemer za posledné 3 roky</t>
  </si>
  <si>
    <t>Registrácia PZS</t>
  </si>
  <si>
    <t>Registrácia ZPr</t>
  </si>
  <si>
    <t>Registrácia PrZS (Narodenie dieťaťa)</t>
  </si>
  <si>
    <t>Počet registrácii PZS</t>
  </si>
  <si>
    <t>Počet registrácii ZPR</t>
  </si>
  <si>
    <t>Materialove naklady - Registracia PrZS (narodenie dieťaťa)</t>
  </si>
  <si>
    <t>Materialove naklady AS-IS</t>
  </si>
  <si>
    <t>Materialove naklady TO-BE</t>
  </si>
  <si>
    <t>Čas lekára na administratívne činnosti</t>
  </si>
  <si>
    <t>hod</t>
  </si>
  <si>
    <t>Výsledný čas lekára na administratívne činnosti</t>
  </si>
  <si>
    <t>Čas lekara AS-IS</t>
  </si>
  <si>
    <t>Čas lekára TO-BE</t>
  </si>
  <si>
    <t>Primerná hodinová mzda lekára</t>
  </si>
  <si>
    <t>Zdroj - NCZI
Rok 2018</t>
  </si>
  <si>
    <t>Cena ušetreného času lekára</t>
  </si>
  <si>
    <r>
      <t>Administratívne materiálové náklady</t>
    </r>
    <r>
      <rPr>
        <i/>
        <sz val="11"/>
        <color theme="1"/>
        <rFont val="Calibri"/>
        <family val="2"/>
        <charset val="238"/>
        <scheme val="minor"/>
      </rPr>
      <t xml:space="preserve">
</t>
    </r>
  </si>
  <si>
    <t>Daň z príjmu</t>
  </si>
  <si>
    <t>Daň z príjmu PZS</t>
  </si>
  <si>
    <t>Daň z príjmu ZPr</t>
  </si>
  <si>
    <t>Priemerný plat zdravotníckych pracovníkov vrátane náhrad za neaktívnu pracovnú pohotovosť mimo pracoviska - hrubé mzdy -  rok 2017</t>
  </si>
  <si>
    <t xml:space="preserve">Štatistické zisťovania E (MZ SR) 2-01 a E (MZ SR) 1-04 o ekonomike organizácií v zdravotníctve, časť údajov zverejnená v rámci http://www.nczisk.sk/Statisticke_vystupy/Pages/default.aspx </t>
  </si>
  <si>
    <t>Príjem štátu na dani z príjmu</t>
  </si>
  <si>
    <t>Odvod - daň z prijmu za deň</t>
  </si>
  <si>
    <t>Dlžka trvania registrácie PZS AS-IS</t>
  </si>
  <si>
    <t>Dĺžka trvania registrácie PZS TO-BE</t>
  </si>
  <si>
    <t>Dlžka trvania registrácie ZPr AS-IS</t>
  </si>
  <si>
    <t>Dĺžka trvania registrácie ZPr TO-BE</t>
  </si>
  <si>
    <t>EUR/deň</t>
  </si>
  <si>
    <t>Deň</t>
  </si>
  <si>
    <t>Dĺžka trvania procesu registrácie</t>
  </si>
  <si>
    <t>dni</t>
  </si>
  <si>
    <t>Primerná mzda zdravotníckeho pracovníka</t>
  </si>
  <si>
    <t>Cena ušetreného času PZS/ZPr
(S pravidlom polovice)</t>
  </si>
  <si>
    <t>Zníženie očakávaného ušetreného času lekára</t>
  </si>
  <si>
    <t>Cena ušetreného času PZS/ZPr</t>
  </si>
  <si>
    <t>Priemerný mesačný výsledok hospodárenia na 1 PZS rok 2016 (vazeny priemer za amb a lekarne)</t>
  </si>
  <si>
    <t>Priemerný plat zdravotníckych pracovníkov vrátane náhrad za neaktívnu pracovnú pohotovosť mimo pracoviska - hrubé mzdy</t>
  </si>
  <si>
    <t>Priemerný denny výsledok hospodárenie 1 PZS</t>
  </si>
  <si>
    <t>EUR/mesiac</t>
  </si>
  <si>
    <t>EUR/v ušetrenom čase/1 entita</t>
  </si>
  <si>
    <t>Počet transakcií/rok</t>
  </si>
  <si>
    <t>Procesný krok č. 9</t>
  </si>
  <si>
    <t>Procesný krok č. 10</t>
  </si>
  <si>
    <t>Procesný krok č. 11</t>
  </si>
  <si>
    <t>Procesný krok č. 12</t>
  </si>
  <si>
    <t>Procesný krok č. 13</t>
  </si>
  <si>
    <t>Procesný krok č. 14</t>
  </si>
  <si>
    <t>Procesný krok č. 15</t>
  </si>
  <si>
    <t>PrZS1 - PZS1 (KV)</t>
  </si>
  <si>
    <t>PrZS2 - PZS1 (KV)</t>
  </si>
  <si>
    <t>PrZS3 - PZS1 (KV)</t>
  </si>
  <si>
    <t>PrZS4 - PZS1 (KV)</t>
  </si>
  <si>
    <t>PrZS5 - PZS1 (KV)</t>
  </si>
  <si>
    <t>PrZS6 - PZS1 (KV)</t>
  </si>
  <si>
    <t>PrZS7 - PZS1 (KV)</t>
  </si>
  <si>
    <t>PrZS8 - PZS1 (KV)</t>
  </si>
  <si>
    <t>PrZS9 - PZS1 (KV)</t>
  </si>
  <si>
    <t>PrZS10 - PZS1 (KV)</t>
  </si>
  <si>
    <t>PrZS11  - PZS2 (KV)</t>
  </si>
  <si>
    <t>PrZS12  - PZS2 (KV)</t>
  </si>
  <si>
    <t>PrZS13  - PZS2 (KV)</t>
  </si>
  <si>
    <t>PrZS14  - PZS2 (KV)</t>
  </si>
  <si>
    <t>PrZS15  - PZS2 (KV)</t>
  </si>
  <si>
    <t>PrZS16  - PZS2 (KV)</t>
  </si>
  <si>
    <t>PrZS17  - PZS2 (KV)</t>
  </si>
  <si>
    <t>PrZS18  - PZS2 (KV)</t>
  </si>
  <si>
    <t>PrZS19  - PZS2 (KV)</t>
  </si>
  <si>
    <t>PrZS20  - PZS2 (KV)</t>
  </si>
  <si>
    <t>PrZS21  - PZS3 (KV)</t>
  </si>
  <si>
    <t>PrZS22  - PZS3 (KV)</t>
  </si>
  <si>
    <t>PrZS23  - PZS3 (KV)</t>
  </si>
  <si>
    <t>PrZS24  - PZS3 (KV)</t>
  </si>
  <si>
    <t>PrZS25  - PZS3 (KV)</t>
  </si>
  <si>
    <t>PrZS26  - PZS3 (KV)</t>
  </si>
  <si>
    <t>PrZS27  - PZS3 (KV)</t>
  </si>
  <si>
    <t>PrZS28  - PZS3 (KV)</t>
  </si>
  <si>
    <t>PrZS29  - PZS3 (KV)</t>
  </si>
  <si>
    <t>PrZS30  - PZS3 (KV)</t>
  </si>
  <si>
    <t>Číslo</t>
  </si>
  <si>
    <r>
      <rPr>
        <b/>
        <sz val="11"/>
        <color theme="1"/>
        <rFont val="Calibri"/>
        <family val="2"/>
        <charset val="238"/>
        <scheme val="minor"/>
      </rPr>
      <t xml:space="preserve">Pôrodnica - </t>
    </r>
    <r>
      <rPr>
        <sz val="11"/>
        <color theme="1"/>
        <rFont val="Calibri"/>
        <family val="2"/>
        <charset val="238"/>
        <scheme val="minor"/>
      </rPr>
      <t>Tlač prepúšťacej správy, jej kontrola a podpísanie</t>
    </r>
  </si>
  <si>
    <r>
      <rPr>
        <b/>
        <sz val="11"/>
        <color theme="1"/>
        <rFont val="Calibri"/>
        <family val="2"/>
        <charset val="238"/>
        <scheme val="minor"/>
      </rPr>
      <t xml:space="preserve">Pôrodnica - </t>
    </r>
    <r>
      <rPr>
        <sz val="11"/>
        <color theme="1"/>
        <rFont val="Calibri"/>
        <family val="2"/>
        <charset val="238"/>
        <scheme val="minor"/>
      </rPr>
      <t>Vyplnenie správy o novorodencovi a zaslanie do ISZI</t>
    </r>
  </si>
  <si>
    <r>
      <rPr>
        <b/>
        <sz val="11"/>
        <color theme="1"/>
        <rFont val="Calibri"/>
        <family val="2"/>
        <charset val="238"/>
        <scheme val="minor"/>
      </rPr>
      <t xml:space="preserve">Pôrodnica - </t>
    </r>
    <r>
      <rPr>
        <sz val="11"/>
        <color theme="1"/>
        <rFont val="Calibri"/>
        <family val="2"/>
        <charset val="238"/>
        <scheme val="minor"/>
      </rPr>
      <t>tlač, kontrola, podpísanie  a založenie zdravotnej dokumentácie (vyšetrenia, kap.dohody,...)</t>
    </r>
  </si>
  <si>
    <r>
      <rPr>
        <b/>
        <sz val="11"/>
        <color theme="1"/>
        <rFont val="Calibri"/>
        <family val="2"/>
        <charset val="238"/>
        <scheme val="minor"/>
      </rPr>
      <t xml:space="preserve">Kapitačný lekár - 1. prehliadka - </t>
    </r>
    <r>
      <rPr>
        <sz val="11"/>
        <color theme="1"/>
        <rFont val="Calibri"/>
        <family val="2"/>
        <charset val="238"/>
        <scheme val="minor"/>
      </rPr>
      <t>tlač a založenie zdravotnej dokumentácie</t>
    </r>
  </si>
  <si>
    <r>
      <rPr>
        <b/>
        <sz val="11"/>
        <color theme="1"/>
        <rFont val="Calibri"/>
        <family val="2"/>
        <charset val="238"/>
        <scheme val="minor"/>
      </rPr>
      <t>Kapitačný lekár - 2. prehliadka -</t>
    </r>
    <r>
      <rPr>
        <sz val="11"/>
        <color theme="1"/>
        <rFont val="Calibri"/>
        <family val="2"/>
        <charset val="238"/>
        <scheme val="minor"/>
      </rPr>
      <t xml:space="preserve"> tlač výmenného lístka a kópie zdravotnej dokumentácie pre USG vyšetrenie bedrových zhybov k špecialistovi</t>
    </r>
  </si>
  <si>
    <r>
      <rPr>
        <b/>
        <sz val="11"/>
        <color theme="1"/>
        <rFont val="Calibri"/>
        <family val="2"/>
        <charset val="238"/>
        <scheme val="minor"/>
      </rPr>
      <t xml:space="preserve">Kapitačný lekár - 2. prehliadka - </t>
    </r>
    <r>
      <rPr>
        <sz val="11"/>
        <color theme="1"/>
        <rFont val="Calibri"/>
        <family val="2"/>
        <charset val="238"/>
        <scheme val="minor"/>
      </rPr>
      <t>tlač, kontrola, podpísanie  a založenie zdravotnej dokumentácie  pre špecialistu</t>
    </r>
  </si>
  <si>
    <r>
      <rPr>
        <b/>
        <sz val="11"/>
        <color theme="1"/>
        <rFont val="Calibri"/>
        <family val="2"/>
        <charset val="238"/>
        <scheme val="minor"/>
      </rPr>
      <t xml:space="preserve">Špecialista - USG vyšetrenie - </t>
    </r>
    <r>
      <rPr>
        <sz val="11"/>
        <color theme="1"/>
        <rFont val="Calibri"/>
        <family val="2"/>
        <charset val="238"/>
        <scheme val="minor"/>
      </rPr>
      <t>tlač kópie , kontrola, podpísanie zdravotnej dokumentácie  pre detského lekára a zaslenie poštou</t>
    </r>
  </si>
  <si>
    <r>
      <rPr>
        <b/>
        <sz val="11"/>
        <color theme="1"/>
        <rFont val="Calibri"/>
        <family val="2"/>
        <charset val="238"/>
        <scheme val="minor"/>
      </rPr>
      <t xml:space="preserve">Špecialista - USG vyšetrenie - </t>
    </r>
    <r>
      <rPr>
        <sz val="11"/>
        <color theme="1"/>
        <rFont val="Calibri"/>
        <family val="2"/>
        <charset val="238"/>
        <scheme val="minor"/>
      </rPr>
      <t>tlač, kontrola, podpísanie  a založenie zdravotnej dokumentácie</t>
    </r>
  </si>
  <si>
    <r>
      <rPr>
        <b/>
        <sz val="11"/>
        <color theme="1"/>
        <rFont val="Calibri"/>
        <family val="2"/>
        <charset val="238"/>
        <scheme val="minor"/>
      </rPr>
      <t>Kapitačný lekár - 3. prehliadka</t>
    </r>
    <r>
      <rPr>
        <sz val="11"/>
        <color theme="1"/>
        <rFont val="Calibri"/>
        <family val="2"/>
        <charset val="238"/>
        <scheme val="minor"/>
      </rPr>
      <t xml:space="preserve"> - tlač, kontrola, podpísanie  a založenie zdravotnej dokumentácie</t>
    </r>
  </si>
  <si>
    <r>
      <rPr>
        <b/>
        <sz val="11"/>
        <color theme="1"/>
        <rFont val="Calibri"/>
        <family val="2"/>
        <charset val="238"/>
        <scheme val="minor"/>
      </rPr>
      <t xml:space="preserve">Kapitačný lekár - 4. prehliadka - </t>
    </r>
    <r>
      <rPr>
        <sz val="11"/>
        <color theme="1"/>
        <rFont val="Calibri"/>
        <family val="2"/>
        <charset val="238"/>
        <scheme val="minor"/>
      </rPr>
      <t>Založenie pacienta v IS PZS z NZIS - doplnenie potrebných administratívnych údajov a vypárovanie z existujúcim záznamami v IS PZS a doplnenie samotného pacientského sumára</t>
    </r>
  </si>
  <si>
    <r>
      <rPr>
        <b/>
        <sz val="11"/>
        <color theme="1"/>
        <rFont val="Calibri"/>
        <family val="2"/>
        <charset val="238"/>
        <scheme val="minor"/>
      </rPr>
      <t xml:space="preserve">Kapitačný lekár - Dodatočné úkony - </t>
    </r>
    <r>
      <rPr>
        <sz val="11"/>
        <color theme="1"/>
        <rFont val="Calibri"/>
        <family val="2"/>
        <charset val="238"/>
        <scheme val="minor"/>
      </rPr>
      <t>Načítanie jeho dokumentácie a vykonanie podpísania zdravotnej dokumentácie ePZP kartou a elektronickým popisom</t>
    </r>
  </si>
  <si>
    <r>
      <rPr>
        <b/>
        <sz val="11"/>
        <color theme="1"/>
        <rFont val="Calibri"/>
        <family val="2"/>
        <charset val="238"/>
        <scheme val="minor"/>
      </rPr>
      <t xml:space="preserve">Kapitačný lekár - Dodatočné úkony - </t>
    </r>
    <r>
      <rPr>
        <sz val="11"/>
        <color theme="1"/>
        <rFont val="Calibri"/>
        <family val="2"/>
        <charset val="238"/>
        <scheme val="minor"/>
      </rPr>
      <t>Zaslanie zdravotnej dokumentácie do NZIS.</t>
    </r>
  </si>
  <si>
    <r>
      <rPr>
        <b/>
        <sz val="11"/>
        <color theme="1"/>
        <rFont val="Calibri"/>
        <family val="2"/>
        <charset val="238"/>
        <scheme val="minor"/>
      </rPr>
      <t xml:space="preserve">Kapitačný lekár - Dodatočné úkony - </t>
    </r>
    <r>
      <rPr>
        <sz val="11"/>
        <color theme="1"/>
        <rFont val="Calibri"/>
        <family val="2"/>
        <charset val="238"/>
        <scheme val="minor"/>
      </rPr>
      <t>Založenie pacienta v IS PZS z NZIS a vypárovanie z existujúcim záznamami v IS PZS</t>
    </r>
  </si>
  <si>
    <t>Procesné kroky</t>
  </si>
  <si>
    <t>Priemer podľa meraní /hod</t>
  </si>
  <si>
    <t>Aktivity</t>
  </si>
  <si>
    <t>Náklad na tlač/poštovné v EUR</t>
  </si>
  <si>
    <t>Detailnejší čas aktivít - odhad - hod</t>
  </si>
  <si>
    <t>Navrhované ušetrenie času</t>
  </si>
  <si>
    <t>Dôvod ušetrenia času</t>
  </si>
  <si>
    <t>Narodenie</t>
  </si>
  <si>
    <t>Nemocnica narodenie</t>
  </si>
  <si>
    <t>Samotný úkon pôrodu</t>
  </si>
  <si>
    <t>AS-IS</t>
  </si>
  <si>
    <t>Tlač prepúšťacej správy, jej kontrola a podpísanie</t>
  </si>
  <si>
    <t>Aktivita nie je potrebná, nakoľko proces bude online (viď. zdôvodnenie)</t>
  </si>
  <si>
    <t>Vyplnenie správy o novorodencovi a zaslanie do ISZI
http://data.nczisk.sk/old/zdr_stav/Z5_hl_08.pdf</t>
  </si>
  <si>
    <t>Materiálové náklady :
Tlač (0,02 EUR) x2 - standardne min 2 stranova sprava a viac
Papier (0,01 EUR) x2</t>
  </si>
  <si>
    <t>1. Preventívna prehliadka: 0 - 28 dní po prepustení z pôrodnice</t>
  </si>
  <si>
    <t>komplexné pediatrické vyšetrenie</t>
  </si>
  <si>
    <t>anamnéza rodičov, tehotenská anamnéza matky, prenatálna a perinatálna anamnéza dieťaťa</t>
  </si>
  <si>
    <t>poučenie o strave (dojčení) a vitamínoch, o udržaní laktácie, strave pre dojčiace matky, polohovaní, hygiene novorodenca</t>
  </si>
  <si>
    <t>tlač, kontrola, podpísanie  a založenie zdravotnej dokumentácie (vyšetrenia, kap.dohody,...)</t>
  </si>
  <si>
    <t xml:space="preserve">Materiálové náklady :
Tlač (0,02 EUR) x3  - 2xkrat kapitacna dohoda, 1x dekurz
Papier (0,01 EUR) x3 </t>
  </si>
  <si>
    <t>2. Preventívna prehliadka: 4. týždeň</t>
  </si>
  <si>
    <t>anamnéza – zhodnotenie zdravotného stavu od minulej prehliadky</t>
  </si>
  <si>
    <t>antropometrické merania: hmotnosť, dĺžka, obvod hlavy a hrudníka</t>
  </si>
  <si>
    <t>vyšetrenie psychomotorického vývoja</t>
  </si>
  <si>
    <t>tlač a založenie zdravotnej dokumentácie</t>
  </si>
  <si>
    <t>tlač výmenného lístka a kópie zdravotnej dokumentácie pre USG vyšetrenie bedrových zhybov k špecialistovi</t>
  </si>
  <si>
    <t xml:space="preserve">Materiálové náklady :
Tlač (0,02 EUR) x3  - 1x dekurz, 1xVL, 1x sprava pre specialistu
Papier (0,01 EUR) x3 </t>
  </si>
  <si>
    <t>Vyšetrenie bedrových zhybov USG - u špecialistu: 4 týždeň</t>
  </si>
  <si>
    <t>komplexné vyšetrenie zhybov</t>
  </si>
  <si>
    <t>tlač, kontrola, podpísanie  a založenie zdravotnej dokumentácie  pre špecialistu</t>
  </si>
  <si>
    <t>tlač kópie , kontrola, podpísanie zdravotnej dokumentácie  pre detského lekára a zaslenie poštou</t>
  </si>
  <si>
    <t xml:space="preserve">Materiálové náklady - zaznam pre specialistu:
Tlač (0,02 EUR) x1  - 1x dekurz
Papier (0,01 EUR) x1
</t>
  </si>
  <si>
    <t>Materiálové náklady - zaznam pre detskeho lekara:
Materiálové náklady :
Poštovné (0,83 EUR) x1
Tlač (0,02 EUR) x1
Papier (0,01 EUR) x1
Obálka (0,03 EUR) x1</t>
  </si>
  <si>
    <t>3. Preventívna prehliadka: 7. týždeň</t>
  </si>
  <si>
    <t>anamnéza – zhodnotenie zdravotného stavu od minulej prehliadky
antropometrické merania: hmotnosť, dĺžka, obvod hlavy a hrudníka (antrop.)
komplexné pediatrické vyšetrenie (ped.)
vyšetrenie psychomotorického vývoja - symetrický zdvih hlavy v polohe na brušku, schopnosť fixovať zrakom blízke premety či osoby
kontrola screeningového vyšetrenia bedrových kĺbov
podpora laktácie</t>
  </si>
  <si>
    <t>tlač, kontrola, podpísanie  a založenie zdravotnej dokumentácie</t>
  </si>
  <si>
    <t xml:space="preserve">Materiálové náklady:
Tlač (0,02 EUR) x1  - 1x dekurz
Papier (0,01 EUR) x1
</t>
  </si>
  <si>
    <t>4. Preventívna prehliadka: 10. týždeň</t>
  </si>
  <si>
    <t>anamnéza – zhodnotenie zdravotného stavu od minulej prehliadky
antropometrické merania: hmotnosť, dĺžka, obvod hlavy a hrudníka (antrop.)
komplexné pediatrické vyšetrenie (ped.)
vyšetrenie psychomotorického vývoja
podpora laktácie</t>
  </si>
  <si>
    <t>Dodatočné nahratie zdravotnej dokumentácie do NZIS - pacient už je v registroch NZIS</t>
  </si>
  <si>
    <t>Detský lekár</t>
  </si>
  <si>
    <t>Založenie pacienta v IS PZS z NZIS - doplnenie potrebných administratívnych údajov a vypárovanie z existujúcim záznamami v IS PZS a doplnenie samotného pacientského sumára</t>
  </si>
  <si>
    <t>Načítanie jeho dokumentácie a vykonanie podpísania zdravotnej dokumentácie ePZP kartou a elektronickým popisom</t>
  </si>
  <si>
    <t>Zaslanie zdravotnej dokumentácie do NZIS.</t>
  </si>
  <si>
    <t>USG špecialista (ortóped)</t>
  </si>
  <si>
    <t>Založenie pacienta v IS PZS z NZIS a vypárovanie z existujúcim záznamami v IS PZS</t>
  </si>
  <si>
    <t>Výsledný čas</t>
  </si>
  <si>
    <t>Motivacia</t>
  </si>
  <si>
    <t>Na to aby sme ušetrili počas prvých 54 dní života dieťaťa čas lekárom zhruba 2 hodiny  a  1,22 EUR náklady na tlač a výmenu zdravotnej dokumentácie v procese narodenia dieťaťa, je potrebné skrátiť administratívny proces registrácie PrZS z 54 dní na minimum a vyžaduje sa aj  zmena samotného aktuálneho procesu, ktorý je popísaný v to-be stave. Ročne sa jedná o 57969 prípadov narodených detí.  (Údaj je za rok 2017).</t>
  </si>
  <si>
    <t>Zdôvodenie:</t>
  </si>
  <si>
    <t xml:space="preserve">Po narodení dieťaťa počas prvých 10 týždňov rodič s novorodencom musí absolvovať  4 návštevy u detského lekára a jednu u špecialistu ortopéda. Z každého vyšetrenia sa vyhotovuje zdravotná dokumentácia a v zmysle zákona o NZIS 153/2013 je povinný lekár zaznamenať každý záznam aj v elektronickej forme. Keďže ale v registroch PrZS neexistuje je povinný lekár vytlačiť zdravotnú dokumentáciu. Týmto lekárovi povinnosť nahratia zdravotnej dokumentácie do NZIS nezaniká a musí ju dodatočne bezodkladne nahrať a podpísať ePZP kartou dodatočne , teda až po 54 dni od narodenia dieťaťa. 
Počas tejto doby vznikajú lekárovi dodatočné náklady a strata času s vedením papierovej dokumentácie. Podklady pre CBA rátajú s minimalistickým variantom, kde každá správa alebo úkon sa tlač na 1 stranu. V celom procese nie je rátaný náklad s prípadným vystavením receptu, teda ráta sa s pozitívnym scenárom, kedy nenastanú zdravotné  komplikácie. Ďalej sa neráta v proces s tlačením odpisov zdravotnej dokumentácie pre samotného zákonného zástupcu PrZS.
</t>
  </si>
  <si>
    <t>čas (dni)</t>
  </si>
  <si>
    <t>PZS1 - VÚC1</t>
  </si>
  <si>
    <t>PZS2 - VÚC1</t>
  </si>
  <si>
    <t>PZS3 - VÚC1</t>
  </si>
  <si>
    <t>PZS4 - VÚC1</t>
  </si>
  <si>
    <t>PZS5 - VÚC1</t>
  </si>
  <si>
    <t>PZS6 - VÚC1</t>
  </si>
  <si>
    <t>PZS7 - VÚC1</t>
  </si>
  <si>
    <t>PZS8 - VÚC1</t>
  </si>
  <si>
    <t>PZS9 - VÚC1</t>
  </si>
  <si>
    <t>PZS10 - VÚC1</t>
  </si>
  <si>
    <t>PZS11 - VÚC2</t>
  </si>
  <si>
    <t>PZS12 - VÚC2</t>
  </si>
  <si>
    <t>PZS13 - VÚC2</t>
  </si>
  <si>
    <t>PZS14 - VÚC2</t>
  </si>
  <si>
    <t>PZS15 - VÚC2</t>
  </si>
  <si>
    <t>PZS16 - VÚC2</t>
  </si>
  <si>
    <t>PZS17 - VÚC2</t>
  </si>
  <si>
    <t>PZS18 - VÚC2</t>
  </si>
  <si>
    <t>PZS19 - VÚC2</t>
  </si>
  <si>
    <t>PZS20 - VÚC2</t>
  </si>
  <si>
    <t>PZS21 - VÚC3</t>
  </si>
  <si>
    <t>PZS22 - VÚC3</t>
  </si>
  <si>
    <t>PZS23 - VÚC3</t>
  </si>
  <si>
    <t>PZS24 - VÚC3</t>
  </si>
  <si>
    <t>PZS25 - VÚC3</t>
  </si>
  <si>
    <t>PZS26 - VÚC3</t>
  </si>
  <si>
    <t>PZS27 - VÚC3</t>
  </si>
  <si>
    <t>PZS28 - VÚC3</t>
  </si>
  <si>
    <t>PZS29 - VÚC3</t>
  </si>
  <si>
    <t>PZS30 - VÚC3</t>
  </si>
  <si>
    <r>
      <rPr>
        <b/>
        <sz val="11"/>
        <color theme="1"/>
        <rFont val="Calibri"/>
        <family val="2"/>
        <charset val="238"/>
        <scheme val="minor"/>
      </rPr>
      <t xml:space="preserve">VÚC - </t>
    </r>
    <r>
      <rPr>
        <sz val="11"/>
        <color theme="1"/>
        <rFont val="Calibri"/>
        <family val="2"/>
        <charset val="238"/>
        <scheme val="minor"/>
      </rPr>
      <t>Posúdenie žiadosti</t>
    </r>
  </si>
  <si>
    <r>
      <rPr>
        <b/>
        <sz val="11"/>
        <color theme="1"/>
        <rFont val="Calibri"/>
        <family val="2"/>
        <charset val="238"/>
        <scheme val="minor"/>
      </rPr>
      <t xml:space="preserve">VÚC - </t>
    </r>
    <r>
      <rPr>
        <sz val="11"/>
        <color theme="1"/>
        <rFont val="Calibri"/>
        <family val="2"/>
        <charset val="238"/>
        <scheme val="minor"/>
      </rPr>
      <t>Zaslanie povolenia</t>
    </r>
  </si>
  <si>
    <r>
      <rPr>
        <b/>
        <sz val="11"/>
        <color theme="1"/>
        <rFont val="Calibri"/>
        <family val="2"/>
        <charset val="238"/>
        <scheme val="minor"/>
      </rPr>
      <t xml:space="preserve">ÚDZS - </t>
    </r>
    <r>
      <rPr>
        <sz val="11"/>
        <color theme="1"/>
        <rFont val="Calibri"/>
        <family val="2"/>
        <charset val="238"/>
        <scheme val="minor"/>
      </rPr>
      <t>Posúdenie žiadosti</t>
    </r>
  </si>
  <si>
    <r>
      <rPr>
        <b/>
        <sz val="11"/>
        <color theme="1"/>
        <rFont val="Calibri"/>
        <family val="2"/>
        <charset val="238"/>
        <scheme val="minor"/>
      </rPr>
      <t xml:space="preserve">ÚDZS - </t>
    </r>
    <r>
      <rPr>
        <sz val="11"/>
        <color theme="1"/>
        <rFont val="Calibri"/>
        <family val="2"/>
        <charset val="238"/>
        <scheme val="minor"/>
      </rPr>
      <t>Generovanie  a zaslanie dávky NCZI</t>
    </r>
  </si>
  <si>
    <t>Detailnejší čas aktivít - odhad - dní</t>
  </si>
  <si>
    <t>Podanie žiadosti o povolenie</t>
  </si>
  <si>
    <t>Prijatie žiadosti o povolenie</t>
  </si>
  <si>
    <t>Posúdenie žiadosti</t>
  </si>
  <si>
    <t>Skrátenie legislatívnej lehoty na posúdenie žiadosti</t>
  </si>
  <si>
    <t>Vydanie povolenia</t>
  </si>
  <si>
    <t>Zaslanie povolenia</t>
  </si>
  <si>
    <t>Skrátenie lehoty, využítím online komunikácie</t>
  </si>
  <si>
    <t>Generovanie  a zaslanie dávky NCZI</t>
  </si>
  <si>
    <t>Aktivita nie je potrebná, nakoľko proces bude online</t>
  </si>
  <si>
    <t>Prijatie  a spracovanie údajov v NCZI</t>
  </si>
  <si>
    <t>Výsledný čas - registrácia PZS</t>
  </si>
  <si>
    <t>Na to aby nový PZS produkoval služby a vytváral zisk, z ktorého bude odvádzať štátu daň z príjmu o 53 dní skôr, je potrebné skrátiť administratívny proces registrácie PZS z 105 dní na 52 dní a vyžaduje sa aj  zmena samotného aktuálneho procesu, ktorý je popísaný v to-be stave. Ročne sa jedná o 400 prípadov nových PZS.  (Údaj je za rok 2016 z dôvodu, že za 2017 nie sú zatiaľ k dispozícii priemerný hospodársky výsledok na PZS ).
Do procesu pre výpočet úspory nie je zahrnutý samotný zdravotnícky pracovník a jeho odvody, tento proces je kalkulovaný v inom proces registrácie ZPr.
Najčastejším dôvodom pre vznik nového PZS  je dopyt po poskytovaných sluzbach, cize ich vznik je podmieneny aj konkretnou lokalitou, čo vytvára aj zníženie nákladov pre samotných občanov súvisiacich s časom stráveným na vybavenie návštevy a šetrením nákladov vyplývajúcich z lepšej lokálnej dostupnosti. Tieto šetrenia pre ich ťažkú kvantifikovateľnosť neboli zahrnuté do CBA.
Do prepočtov sú zarátane len ambulancie a lekárne.</t>
  </si>
  <si>
    <t>Registrácia ZPR</t>
  </si>
  <si>
    <r>
      <rPr>
        <b/>
        <sz val="11"/>
        <color theme="1"/>
        <rFont val="Calibri"/>
        <family val="2"/>
        <charset val="238"/>
        <scheme val="minor"/>
      </rPr>
      <t xml:space="preserve">Zdravotnícka komora - </t>
    </r>
    <r>
      <rPr>
        <sz val="11"/>
        <color theme="1"/>
        <rFont val="Calibri"/>
        <family val="2"/>
        <charset val="238"/>
        <scheme val="minor"/>
      </rPr>
      <t>Posúdenie žiadosti</t>
    </r>
  </si>
  <si>
    <r>
      <rPr>
        <b/>
        <sz val="11"/>
        <color theme="1"/>
        <rFont val="Calibri"/>
        <family val="2"/>
        <charset val="238"/>
        <scheme val="minor"/>
      </rPr>
      <t xml:space="preserve">Zdravotnícka komora - </t>
    </r>
    <r>
      <rPr>
        <sz val="11"/>
        <color theme="1"/>
        <rFont val="Calibri"/>
        <family val="2"/>
        <charset val="238"/>
        <scheme val="minor"/>
      </rPr>
      <t>Zaslanie licencie</t>
    </r>
  </si>
  <si>
    <t>Detailnejší čas aktivít - odhad - dni</t>
  </si>
  <si>
    <t xml:space="preserve">Podanie žiadosti </t>
  </si>
  <si>
    <t>Prijatie žiadosti</t>
  </si>
  <si>
    <t>Vydanie licencie</t>
  </si>
  <si>
    <t>Zaslanie lcencie</t>
  </si>
  <si>
    <t>Podanie žiadosti o kód ZPr</t>
  </si>
  <si>
    <t>Prijatie žiadosti o kód ZPr</t>
  </si>
  <si>
    <t>Pridelenie kódu ZPr</t>
  </si>
  <si>
    <t>Oznámenie pridelenia kódu ZPr</t>
  </si>
  <si>
    <t>4. Oznámenie ÚDZS  pridelenia kódu ZPr NCZI</t>
  </si>
  <si>
    <t>Výsledný čas - registrácia ZPR</t>
  </si>
  <si>
    <t xml:space="preserve">Na to aby nový ZPr mohol začať poskytovať zdravotnú starostlivosť, za ktorú bude poberať mzdu a platiť daň z príjmu o 39 dní skôr, je potrebné skrátiť administratívny proces registrácie ZPR z 91 dní na 52 dní a vyžaduje sa aj  zmena samotného aktuálneho procesu, ktorý je popísaný v to-be stave. Ročne sa jedná o 6803 prípadov nových ZPr.  (Údaj je za rok 2017).
Do procesu nie sú zahrnuté výdavky štátu  na absoventov vysokej školy, ktorí počas čakania na vybavenie administratívneho procesu sú vedení v zozname uchádzačov o zamestnanie a štát za nich platí odovody za sociálne a zdravotné poistenie.   </t>
  </si>
  <si>
    <t>1. Posúdenie žiadosti a  2. Zaslanie povolenia</t>
  </si>
  <si>
    <t>3. Posúdenie žiadosti (Vybavenie kódu PZS)</t>
  </si>
  <si>
    <t>4. ÚDZS - Generovanie  a zaslanie dávky NCZI (Oznámenie pridelenia kódu ZPr)</t>
  </si>
  <si>
    <t>1. Zdravotnícka komora - Posúdenie žiadosti  a 2. Zdravotnícka komora - Zaslanie žiadosti</t>
  </si>
  <si>
    <t>3. ÚDZS - Posúdenie žiadosti</t>
  </si>
  <si>
    <t>ZPR1 - Komora1</t>
  </si>
  <si>
    <t>ZPR2 - Komora1</t>
  </si>
  <si>
    <t>ZPR3 - Komora1</t>
  </si>
  <si>
    <t>ZPR4 - Komora1</t>
  </si>
  <si>
    <t>ZPR5 - Komora1</t>
  </si>
  <si>
    <t>ZPR6 - Komora1</t>
  </si>
  <si>
    <t>ZPR7 - Komora1</t>
  </si>
  <si>
    <t>ZPR8 - Komora1</t>
  </si>
  <si>
    <t>ZPR9 - Komora1</t>
  </si>
  <si>
    <t>ZPR10 - Komora1</t>
  </si>
  <si>
    <t>ZPR11 - Komora2</t>
  </si>
  <si>
    <t>ZPR12 - Komora2</t>
  </si>
  <si>
    <t>ZPR13 - Komora2</t>
  </si>
  <si>
    <t>ZPR14 - Komora2</t>
  </si>
  <si>
    <t>ZPR15 - Komora2</t>
  </si>
  <si>
    <t>ZPR16 - Komora2</t>
  </si>
  <si>
    <t>ZPR17 - Komora2</t>
  </si>
  <si>
    <t>ZPR18 - Komora2</t>
  </si>
  <si>
    <t>ZPR19 - Komora2</t>
  </si>
  <si>
    <t>ZPR20 - Komora2</t>
  </si>
  <si>
    <t>ZPR21 - Komora3</t>
  </si>
  <si>
    <t>ZPR22 - Komora3</t>
  </si>
  <si>
    <t>ZPR23 - Komora3</t>
  </si>
  <si>
    <t>ZPR24 - Komora3</t>
  </si>
  <si>
    <t>ZPR25 - Komora3</t>
  </si>
  <si>
    <t>ZPR26 - Komora3</t>
  </si>
  <si>
    <t>ZPR27 - Komora3</t>
  </si>
  <si>
    <t>ZPR28 - Komora3</t>
  </si>
  <si>
    <t>ZPR29 - Komora3</t>
  </si>
  <si>
    <t>ZPR30 - Komora3</t>
  </si>
  <si>
    <t>Online procesy eZdravia</t>
  </si>
  <si>
    <t>Národné centrum zdravotníckych informácii</t>
  </si>
  <si>
    <t>čas (hod)</t>
  </si>
  <si>
    <t>Registrácia a ukončenie KV</t>
  </si>
  <si>
    <t>Pôvodný PZS1 - Nový PZS1</t>
  </si>
  <si>
    <t>Pôvodný PZS2 - Nový PZS2</t>
  </si>
  <si>
    <t>Pôvodný PZS3 - Nový PZS3</t>
  </si>
  <si>
    <r>
      <rPr>
        <b/>
        <sz val="11"/>
        <color theme="1"/>
        <rFont val="Calibri"/>
        <family val="2"/>
        <charset val="238"/>
        <scheme val="minor"/>
      </rPr>
      <t xml:space="preserve">Ukončenie KV - </t>
    </r>
    <r>
      <rPr>
        <sz val="11"/>
        <color theme="1"/>
        <rFont val="Calibri"/>
        <family val="2"/>
        <charset val="238"/>
        <scheme val="minor"/>
      </rPr>
      <t>Načítanie a tlač zdravotnej dokumentácie a jej kontrola po vytlačení - lekár</t>
    </r>
  </si>
  <si>
    <r>
      <rPr>
        <b/>
        <sz val="11"/>
        <color theme="1"/>
        <rFont val="Calibri"/>
        <family val="2"/>
        <charset val="238"/>
        <scheme val="minor"/>
      </rPr>
      <t xml:space="preserve">Ukončenie KV - </t>
    </r>
    <r>
      <rPr>
        <sz val="11"/>
        <color theme="1"/>
        <rFont val="Calibri"/>
        <family val="2"/>
        <charset val="238"/>
        <scheme val="minor"/>
      </rPr>
      <t>Administratívne úkony (príprava zdravotnej dokumentácie na odoslanie) - sestra</t>
    </r>
  </si>
  <si>
    <r>
      <rPr>
        <b/>
        <sz val="11"/>
        <color theme="1"/>
        <rFont val="Calibri"/>
        <family val="2"/>
        <charset val="238"/>
        <scheme val="minor"/>
      </rPr>
      <t>Registrácia KV</t>
    </r>
    <r>
      <rPr>
        <sz val="11"/>
        <color theme="1"/>
        <rFont val="Calibri"/>
        <family val="2"/>
        <charset val="238"/>
        <scheme val="minor"/>
      </rPr>
      <t xml:space="preserve"> - Založenie zdravotnej dokumentácie (vyšetrenia, kap.dohody,...) - sestra</t>
    </r>
  </si>
  <si>
    <t>Ukončenie KV - pôvodný PZS</t>
  </si>
  <si>
    <t>Načítanie a tlač zdravotnej dokumentácie a jej kontrola po vytlačení - lekár</t>
  </si>
  <si>
    <t>Administratívne úkony (príprava zdravotnej dokumentácie na odoslanie) - sestra</t>
  </si>
  <si>
    <t>Materiálové náklady :
Tlač (0,02 EUR) x13 - podľa priemerných prepočtov vytvorených zdravotných záznamov
Papier (0,01 EUR) x13 - podľa priemerných prepočtov vytvorených zdravotných záznamov</t>
  </si>
  <si>
    <t>Registrácia KV - nový PZS</t>
  </si>
  <si>
    <t>Preštudovanie tlačenej zdravotnej dokumentácie - lekár</t>
  </si>
  <si>
    <t>Založenie papierovej zdravotnej dokumentácie (vyšetrenia, kap.dohody,...) - sestra</t>
  </si>
  <si>
    <t>Vstupné vyšetrenie</t>
  </si>
  <si>
    <t>Zdôvodnenie:</t>
  </si>
  <si>
    <t>Počet obyvateľov</t>
  </si>
  <si>
    <t>priemer za roky 2017-2015 - Zdroj: Štatistický úrad SR</t>
  </si>
  <si>
    <t>Na to aby sme ušetrilli čas lekárom zhruba 16 minút  a  v priemere 0,39 EUR náklady na tlač kvôli výmene zdravotnej dokumentácie v procese zmeny kapitačného vzťahu, je potrebné skrátiť administratívny proces registrácie a ukončenia KV z 60 dní na minimum a vyžaduje sa aj  zmena samotného aktuálneho procesu, ktorý je popísaný v to-be stave. Ročne sa jedná o 900 000 prípadov zmeny kapitačných vzťahov.  (Údaj je za rok 2017).</t>
  </si>
  <si>
    <t>Počet ukončených KV</t>
  </si>
  <si>
    <t>Rok 2017 - Zdroj: interné štatistiky projektu eZdravie (JRUZ)</t>
  </si>
  <si>
    <t xml:space="preserve">Pri zmene kapitačného vzťahu mení PrZS svojho kapitačného lekára.  Nový kapitačný lekár má mať okomažitý prístup po podpise zmluvy  k zdravotnej dokumentácii pacienta v NZIS. Z dôvodu aktuálnej dĺžky celého procesu nový kapitačný lekár ale nemože pristúpiť k zdravotnej dokumentácii PrZS a musí tým pádom požiadať pôvodného zmluvného kapitačného lekára o zaslanie zdravotnej karty v papierovej forme  (lekárske správy a dispenzačé záznamy) a jej doručenie. 
Pôvodnému PZS týmto vznikajú dodatočné náklady a strata času pri tvorení odpisu zdravotnej dokumentácie, ktorá je uložená v NZIS (ktorá zo zákona nemusí byť vedená aj v papierovej forme, kedže je v elektronickej) a má k nej implicitný prístup v plnom rozsahu len kapitačný lekár. Zároveň vzniká strata času pre zdravotné sestry  s administratívnymi úkonmi u  pôvodného a aj nového kapitačného lekára .
Do výpočtu nerátame poštovné a historické záznamy, lebo tie sa nenahrávajú spätne do NZIS a zasielaná vytlačená dokumentácia z NZIS sa zvezie týmto procesom. Do CBA preto sú započítane len náklady na tlač, papier a strata času lekára a sestry. </t>
  </si>
  <si>
    <t>Počet zapísaných lekárskych správ v NZIS</t>
  </si>
  <si>
    <t>obdobie od 1.1. - 4.11.2018 - Zdroj: interné štatistiky projektu eZdravie</t>
  </si>
  <si>
    <t>Počet zapísaných dispenzačných záznamov v NZIS</t>
  </si>
  <si>
    <t>Počet zapísaných lekárskych správ v NZIS - 2018</t>
  </si>
  <si>
    <t>aproximácia za rok 2018 (F16/307x365)</t>
  </si>
  <si>
    <t>Počet zapísaných dispenzačných záznamov v NZIS - 2018</t>
  </si>
  <si>
    <t>aproximácia za rok 2018 (F17/307x365)</t>
  </si>
  <si>
    <t>Priemer zapísaných lekárskych správ na 1 obyvateľa</t>
  </si>
  <si>
    <t>za rok 2018</t>
  </si>
  <si>
    <t>Priemer zapísaných dispenzačných záznamov na 1 obyvateľa</t>
  </si>
  <si>
    <t>Registrácia a ukončenie kapitačných vzťahov</t>
  </si>
  <si>
    <t>Čas lekára na administratívne činnosti pri KV</t>
  </si>
  <si>
    <t>Náklad na tlac a papier</t>
  </si>
  <si>
    <t>Materialove naklady pri KV</t>
  </si>
  <si>
    <t>Pi 6.3.20</t>
  </si>
  <si>
    <t>Riešenie IAM</t>
  </si>
  <si>
    <t>Riadenie implementacie projektu</t>
  </si>
  <si>
    <t>Quality assurance implementácie projektu</t>
  </si>
  <si>
    <t>Q&amp;A implementácie projektu</t>
  </si>
  <si>
    <t>Po 13.9.21</t>
  </si>
  <si>
    <t>Implementácia riešenia – integrácia na MPI</t>
  </si>
  <si>
    <t>Testovanie riešenia – integrácia na MPI</t>
  </si>
  <si>
    <t>Št 1.10.20</t>
  </si>
  <si>
    <t>Po 15.3.21</t>
  </si>
  <si>
    <t>Št 11.3.21</t>
  </si>
  <si>
    <t>Po 30.11.20</t>
  </si>
  <si>
    <t>Ut 9.3.21</t>
  </si>
  <si>
    <t>Str 21.10.20</t>
  </si>
  <si>
    <t>Ut 30.3.21</t>
  </si>
  <si>
    <t>Ut 7.7.20</t>
  </si>
  <si>
    <t>Po 27.9.21</t>
  </si>
  <si>
    <t>Ut 9.6.20</t>
  </si>
  <si>
    <t>Ut 4.5.21</t>
  </si>
  <si>
    <t>Po 7.9.20</t>
  </si>
  <si>
    <t>Ut 11.5.21</t>
  </si>
  <si>
    <t>Po 11.1.21</t>
  </si>
  <si>
    <t>Po 24.5.21</t>
  </si>
  <si>
    <t>Po 11.10.21</t>
  </si>
  <si>
    <t>Ut 2.6.20</t>
  </si>
  <si>
    <t>Ut 9.2.21</t>
  </si>
  <si>
    <t>Po 1.11.21</t>
  </si>
  <si>
    <t>Pi 27.3.20</t>
  </si>
  <si>
    <t>Po 30.3.20</t>
  </si>
  <si>
    <t>Pi 20.3.20</t>
  </si>
  <si>
    <t>Pi 3.4.20</t>
  </si>
  <si>
    <t>Pi 23.10.20</t>
  </si>
  <si>
    <t>Po 18.1.21</t>
  </si>
  <si>
    <t>Št 18.2.21</t>
  </si>
  <si>
    <t>Ut 13.4.21</t>
  </si>
  <si>
    <t>Pi 30.10.20</t>
  </si>
  <si>
    <t>Št 15.10.20</t>
  </si>
  <si>
    <t>Po 28.12.20</t>
  </si>
  <si>
    <t>Pi 29.1.21</t>
  </si>
  <si>
    <t>Pi 16.10.20</t>
  </si>
  <si>
    <t>Ut 26.1.21</t>
  </si>
  <si>
    <t>Ut 3.11.20</t>
  </si>
  <si>
    <t>Po 4.1.21</t>
  </si>
  <si>
    <t>Ut 19.1.21</t>
  </si>
  <si>
    <t>Ut 20.10.20</t>
  </si>
  <si>
    <t>Ut 27.10.20</t>
  </si>
  <si>
    <t>Po 19.10.20</t>
  </si>
  <si>
    <t>Št 24.12.20</t>
  </si>
  <si>
    <t>Pi 15.10.21</t>
  </si>
  <si>
    <t>Št 21.10.21</t>
  </si>
  <si>
    <t>Str 15.4.20</t>
  </si>
  <si>
    <t>Str 4.11.20</t>
  </si>
  <si>
    <t>Ut 17.3.20</t>
  </si>
  <si>
    <t>Št 7.1.21</t>
  </si>
  <si>
    <t>Str 28.10.20</t>
  </si>
  <si>
    <t>Ut 23.2.21</t>
  </si>
  <si>
    <t>Str 11.3.20</t>
  </si>
  <si>
    <t>Ut 18.5.21</t>
  </si>
  <si>
    <t>Str 16.12.20</t>
  </si>
  <si>
    <t>Ut 16.2.21</t>
  </si>
  <si>
    <t>Ut 2.3.21</t>
  </si>
  <si>
    <t>Str 28.4.21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</si>
</sst>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0\ &quot;€&quot;;[Red]\-#,##0\ &quot;€&quot;"/>
    <numFmt numFmtId="8" formatCode="#,##0.00\ &quot;€&quot;;[Red]\-#,##0.00\ &quot;€&quot;"/>
    <numFmt numFmtId="44" formatCode="_-* #,##0.00\ &quot;€&quot;_-;\-* #,##0.00\ &quot;€&quot;_-;_-* &quot;-&quot;??\ &quot;€&quot;_-;_-@_-"/>
    <numFmt numFmtId="43" formatCode="_-* #,##0.00\ _€_-;\-* #,##0.00\ _€_-;_-* &quot;-&quot;??\ _€_-;_-@_-"/>
    <numFmt numFmtId="164" formatCode="_-* #,##0\ _€_-;\-* #,##0\ _€_-;_-* &quot;-&quot;??\ _€_-;_-@_-"/>
    <numFmt numFmtId="165" formatCode="0.0%"/>
    <numFmt numFmtId="166" formatCode="#,##0_ ;\-#,##0;\-;@"/>
    <numFmt numFmtId="167" formatCode="0.00;\-0.00;\-;@"/>
    <numFmt numFmtId="168" formatCode="_-* #,##0.00\ [$€-1]_-;\-* #,##0.00\ [$€-1]_-;_-* &quot;-&quot;??\ [$€-1]_-;_-@_-"/>
    <numFmt numFmtId="169" formatCode="_-* #,##0.00\ &quot;EUR&quot;_-;\-* #,##0.00\ &quot;EUR&quot;_-;_-* &quot;-&quot;??\ &quot;EUR&quot;_-;_-@_-"/>
    <numFmt numFmtId="170" formatCode="#,##0.00_ ;\-#,##0.00;\-;@"/>
  </numFmts>
  <fonts count="71" x14ac:knownFonts="1">
    <font>
      <sz val="11"/>
      <color theme="1"/>
      <name val="Calibri"/>
      <family val="2"/>
      <charset val="238"/>
      <scheme val="minor"/>
    </font>
    <font>
      <sz val="11"/>
      <color theme="1"/>
      <name val="Arial Narrow"/>
      <family val="2"/>
      <charset val="238"/>
    </font>
    <font>
      <sz val="11"/>
      <color theme="1"/>
      <name val="Calibri"/>
      <family val="2"/>
      <charset val="238"/>
      <scheme val="minor"/>
    </font>
    <font>
      <b/>
      <sz val="11"/>
      <name val="Arial Narrow"/>
      <family val="2"/>
      <charset val="238"/>
    </font>
    <font>
      <sz val="11"/>
      <name val="Calibri"/>
      <family val="2"/>
      <charset val="238"/>
      <scheme val="minor"/>
    </font>
    <font>
      <sz val="11"/>
      <name val="Arial Narrow"/>
      <family val="2"/>
      <charset val="238"/>
    </font>
    <font>
      <sz val="11"/>
      <color rgb="FF006100"/>
      <name val="Calibri"/>
      <family val="2"/>
      <charset val="238"/>
      <scheme val="minor"/>
    </font>
    <font>
      <b/>
      <sz val="11"/>
      <color rgb="FFFA7D00"/>
      <name val="Calibri"/>
      <family val="2"/>
      <charset val="238"/>
      <scheme val="minor"/>
    </font>
    <font>
      <b/>
      <sz val="11"/>
      <color theme="1"/>
      <name val="Calibri"/>
      <family val="2"/>
      <charset val="238"/>
      <scheme val="minor"/>
    </font>
    <font>
      <b/>
      <sz val="10"/>
      <name val="Arial"/>
      <family val="2"/>
      <charset val="238"/>
    </font>
    <font>
      <sz val="10"/>
      <name val="Arial"/>
      <family val="2"/>
      <charset val="238"/>
    </font>
    <font>
      <i/>
      <sz val="10"/>
      <name val="Arial"/>
      <family val="2"/>
      <charset val="238"/>
    </font>
    <font>
      <sz val="8"/>
      <color indexed="81"/>
      <name val="Tahoma"/>
      <family val="2"/>
      <charset val="238"/>
    </font>
    <font>
      <sz val="10"/>
      <color indexed="18"/>
      <name val="Arial"/>
      <family val="2"/>
      <charset val="238"/>
    </font>
    <font>
      <sz val="11"/>
      <color theme="1"/>
      <name val="Calibri"/>
      <family val="2"/>
      <charset val="238"/>
    </font>
    <font>
      <b/>
      <sz val="24"/>
      <color rgb="FF000000"/>
      <name val="Calibri"/>
      <family val="2"/>
      <charset val="238"/>
    </font>
    <font>
      <b/>
      <sz val="11"/>
      <color rgb="FF000000"/>
      <name val="Arial Narrow"/>
      <family val="2"/>
      <charset val="238"/>
    </font>
    <font>
      <b/>
      <sz val="11"/>
      <color rgb="FFFF0000"/>
      <name val="Arial Narrow"/>
      <family val="2"/>
      <charset val="238"/>
    </font>
    <font>
      <i/>
      <sz val="11"/>
      <color rgb="FF000000"/>
      <name val="Arial Narrow"/>
      <family val="2"/>
      <charset val="238"/>
    </font>
    <font>
      <b/>
      <sz val="9"/>
      <color rgb="FF000000"/>
      <name val="Arial Narrow"/>
      <family val="2"/>
      <charset val="238"/>
    </font>
    <font>
      <i/>
      <sz val="9"/>
      <color rgb="FF000000"/>
      <name val="Arial Narrow"/>
      <family val="2"/>
      <charset val="238"/>
    </font>
    <font>
      <i/>
      <sz val="8"/>
      <color rgb="FF000000"/>
      <name val="Arial Narrow"/>
      <family val="2"/>
      <charset val="238"/>
    </font>
    <font>
      <b/>
      <sz val="8"/>
      <color rgb="FFFA7D00"/>
      <name val="Calibri"/>
      <family val="2"/>
      <charset val="238"/>
      <scheme val="minor"/>
    </font>
    <font>
      <sz val="9"/>
      <color rgb="FF006100"/>
      <name val="Calibri"/>
      <family val="2"/>
      <charset val="238"/>
      <scheme val="minor"/>
    </font>
    <font>
      <b/>
      <sz val="14"/>
      <color theme="1"/>
      <name val="Calibri"/>
      <family val="2"/>
      <charset val="238"/>
    </font>
    <font>
      <sz val="12"/>
      <color theme="1"/>
      <name val="Calibri"/>
      <family val="2"/>
      <charset val="238"/>
      <scheme val="minor"/>
    </font>
    <font>
      <b/>
      <i/>
      <sz val="11"/>
      <color theme="1"/>
      <name val="Calibri"/>
      <family val="2"/>
      <charset val="238"/>
      <scheme val="minor"/>
    </font>
    <font>
      <b/>
      <sz val="16"/>
      <color theme="1"/>
      <name val="Calibri"/>
      <family val="2"/>
      <charset val="238"/>
      <scheme val="minor"/>
    </font>
    <font>
      <b/>
      <sz val="14"/>
      <color theme="1"/>
      <name val="Arial"/>
      <family val="2"/>
      <charset val="238"/>
    </font>
    <font>
      <b/>
      <sz val="12"/>
      <color theme="1"/>
      <name val="Arial"/>
      <family val="2"/>
      <charset val="238"/>
    </font>
    <font>
      <sz val="11"/>
      <color theme="1"/>
      <name val="Arial"/>
      <family val="2"/>
      <charset val="238"/>
    </font>
    <font>
      <b/>
      <sz val="11"/>
      <color theme="1"/>
      <name val="Arial"/>
      <family val="2"/>
      <charset val="238"/>
    </font>
    <font>
      <i/>
      <sz val="11"/>
      <color theme="1"/>
      <name val="Calibri"/>
      <family val="2"/>
      <charset val="238"/>
      <scheme val="minor"/>
    </font>
    <font>
      <b/>
      <sz val="12"/>
      <color theme="1"/>
      <name val="Calibri"/>
      <family val="2"/>
      <charset val="238"/>
      <scheme val="minor"/>
    </font>
    <font>
      <sz val="9"/>
      <color theme="1"/>
      <name val="Calibri"/>
      <family val="2"/>
      <charset val="238"/>
      <scheme val="minor"/>
    </font>
    <font>
      <sz val="9"/>
      <name val="Arial"/>
      <family val="2"/>
      <charset val="238"/>
    </font>
    <font>
      <sz val="9"/>
      <color rgb="FFFA7D00"/>
      <name val="Calibri"/>
      <family val="2"/>
      <charset val="238"/>
      <scheme val="minor"/>
    </font>
    <font>
      <sz val="8"/>
      <color rgb="FFFA7D00"/>
      <name val="Calibri"/>
      <family val="2"/>
      <charset val="238"/>
      <scheme val="minor"/>
    </font>
    <font>
      <b/>
      <i/>
      <sz val="10"/>
      <color theme="1"/>
      <name val="Calibri"/>
      <family val="2"/>
      <charset val="238"/>
      <scheme val="minor"/>
    </font>
    <font>
      <b/>
      <sz val="11"/>
      <color theme="0" tint="-0.499984740745262"/>
      <name val="Calibri"/>
      <family val="2"/>
      <charset val="238"/>
      <scheme val="minor"/>
    </font>
    <font>
      <sz val="9"/>
      <color theme="0" tint="-0.499984740745262"/>
      <name val="Calibri"/>
      <family val="2"/>
      <charset val="238"/>
      <scheme val="minor"/>
    </font>
    <font>
      <sz val="11"/>
      <color theme="0" tint="-0.499984740745262"/>
      <name val="Calibri"/>
      <family val="2"/>
      <charset val="238"/>
      <scheme val="minor"/>
    </font>
    <font>
      <sz val="11"/>
      <color rgb="FF006100"/>
      <name val="Arial Narrow"/>
      <family val="2"/>
      <charset val="238"/>
    </font>
    <font>
      <sz val="11"/>
      <color theme="0"/>
      <name val="Calibri"/>
      <family val="2"/>
      <charset val="238"/>
      <scheme val="minor"/>
    </font>
    <font>
      <sz val="11"/>
      <color rgb="FFFF0000"/>
      <name val="Calibri"/>
      <family val="2"/>
      <charset val="238"/>
      <scheme val="minor"/>
    </font>
    <font>
      <sz val="10"/>
      <color theme="5" tint="-0.249977111117893"/>
      <name val="Arial"/>
      <family val="2"/>
      <charset val="238"/>
    </font>
    <font>
      <sz val="11"/>
      <color theme="5" tint="-0.249977111117893"/>
      <name val="Calibri"/>
      <family val="2"/>
      <charset val="238"/>
      <scheme val="minor"/>
    </font>
    <font>
      <b/>
      <sz val="14"/>
      <color theme="1"/>
      <name val="Calibri"/>
      <family val="2"/>
      <charset val="238"/>
      <scheme val="minor"/>
    </font>
    <font>
      <u/>
      <sz val="11"/>
      <color theme="10"/>
      <name val="Calibri"/>
      <family val="2"/>
      <charset val="238"/>
      <scheme val="minor"/>
    </font>
    <font>
      <b/>
      <u/>
      <sz val="11"/>
      <color theme="5"/>
      <name val="Calibri"/>
      <family val="2"/>
      <charset val="238"/>
      <scheme val="minor"/>
    </font>
    <font>
      <sz val="14"/>
      <color rgb="FF000000"/>
      <name val="Calibri"/>
      <family val="2"/>
      <charset val="238"/>
    </font>
    <font>
      <sz val="11"/>
      <color theme="1"/>
      <name val="Calibri"/>
      <family val="2"/>
      <scheme val="minor"/>
    </font>
    <font>
      <sz val="9"/>
      <color rgb="FF363636"/>
      <name val="Segoe UI"/>
      <family val="2"/>
      <charset val="238"/>
    </font>
    <font>
      <sz val="11"/>
      <color rgb="FF000000"/>
      <name val="Calibri"/>
      <family val="2"/>
      <charset val="238"/>
      <scheme val="minor"/>
    </font>
    <font>
      <sz val="10"/>
      <name val="Arial"/>
      <family val="2"/>
      <charset val="238"/>
    </font>
    <font>
      <b/>
      <sz val="9"/>
      <color indexed="8"/>
      <name val="Calibri"/>
      <family val="2"/>
      <charset val="238"/>
    </font>
    <font>
      <i/>
      <sz val="9"/>
      <color indexed="8"/>
      <name val="Calibri"/>
      <family val="2"/>
      <charset val="238"/>
    </font>
    <font>
      <sz val="9"/>
      <color indexed="8"/>
      <name val="Calibri"/>
      <family val="2"/>
      <charset val="238"/>
    </font>
    <font>
      <sz val="12"/>
      <name val="Times New Roman"/>
      <family val="1"/>
      <charset val="238"/>
    </font>
    <font>
      <sz val="8"/>
      <color theme="1"/>
      <name val="Calibri"/>
      <family val="2"/>
      <charset val="238"/>
      <scheme val="minor"/>
    </font>
    <font>
      <sz val="9"/>
      <color rgb="FFFF0000"/>
      <name val="Segoe UI"/>
      <family val="2"/>
      <charset val="238"/>
    </font>
    <font>
      <sz val="9"/>
      <color theme="4" tint="-0.249977111117893"/>
      <name val="Segoe UI"/>
      <family val="2"/>
      <charset val="238"/>
    </font>
    <font>
      <sz val="11"/>
      <color theme="4" tint="-0.249977111117893"/>
      <name val="Calibri"/>
      <family val="2"/>
      <charset val="238"/>
      <scheme val="minor"/>
    </font>
    <font>
      <sz val="11"/>
      <color theme="4" tint="-0.249977111117893"/>
      <name val="Arial"/>
      <family val="2"/>
      <charset val="238"/>
    </font>
    <font>
      <sz val="11"/>
      <color rgb="FF000000"/>
      <name val="Calibri"/>
      <family val="2"/>
      <charset val="238"/>
    </font>
    <font>
      <sz val="14"/>
      <color rgb="FF000000"/>
      <name val="Calibri"/>
      <family val="2"/>
      <charset val="238"/>
    </font>
    <font>
      <sz val="11"/>
      <color rgb="FF9C0006"/>
      <name val="Calibri"/>
      <family val="2"/>
      <charset val="238"/>
      <scheme val="minor"/>
    </font>
    <font>
      <b/>
      <sz val="12"/>
      <name val="Times New Roman"/>
      <family val="1"/>
      <charset val="238"/>
    </font>
    <font>
      <b/>
      <sz val="11"/>
      <color theme="1"/>
      <name val="Calibri"/>
      <family val="2"/>
      <scheme val="minor"/>
    </font>
    <font>
      <sz val="9"/>
      <color rgb="FF000000"/>
      <name val="Calibri"/>
      <family val="2"/>
      <charset val="238"/>
    </font>
    <font>
      <sz val="14"/>
      <color rgb="FF000000"/>
      <name val="Calibri"/>
    </font>
  </fonts>
  <fills count="32">
    <fill>
      <patternFill patternType="none"/>
    </fill>
    <fill>
      <patternFill patternType="gray125"/>
    </fill>
    <fill>
      <patternFill patternType="solid">
        <fgColor rgb="FFA6A6A6"/>
        <bgColor indexed="64"/>
      </patternFill>
    </fill>
    <fill>
      <patternFill patternType="solid">
        <fgColor rgb="FFEDEDED"/>
        <bgColor indexed="64"/>
      </patternFill>
    </fill>
    <fill>
      <patternFill patternType="solid">
        <fgColor rgb="FFC6EFCE"/>
      </patternFill>
    </fill>
    <fill>
      <patternFill patternType="solid">
        <fgColor rgb="FFF2F2F2"/>
      </patternFill>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rgb="FFD9D9D9"/>
        <bgColor rgb="FF000000"/>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2" tint="-0.499984740745262"/>
        <bgColor indexed="64"/>
      </patternFill>
    </fill>
    <fill>
      <patternFill patternType="solid">
        <fgColor rgb="FFFFFFCC"/>
        <bgColor indexed="64"/>
      </patternFill>
    </fill>
    <fill>
      <patternFill patternType="solid">
        <fgColor theme="6"/>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6C1"/>
        <bgColor indexed="64"/>
      </patternFill>
    </fill>
    <fill>
      <patternFill patternType="solid">
        <fgColor rgb="FFDFE3E8"/>
        <bgColor indexed="64"/>
      </patternFill>
    </fill>
    <fill>
      <patternFill patternType="solid">
        <fgColor rgb="FFFFFFFF"/>
        <bgColor indexed="64"/>
      </patternFill>
    </fill>
    <fill>
      <patternFill patternType="solid">
        <fgColor indexed="27"/>
        <bgColor indexed="64"/>
      </patternFill>
    </fill>
    <fill>
      <patternFill patternType="solid">
        <fgColor indexed="26"/>
        <bgColor indexed="64"/>
      </patternFill>
    </fill>
    <fill>
      <patternFill patternType="solid">
        <fgColor rgb="FFD2EEFF"/>
        <bgColor indexed="64"/>
      </patternFill>
    </fill>
    <fill>
      <patternFill patternType="solid">
        <fgColor rgb="FFFFC7CE"/>
      </patternFill>
    </fill>
    <fill>
      <patternFill patternType="solid">
        <fgColor theme="2"/>
        <bgColor indexed="64"/>
      </patternFill>
    </fill>
  </fills>
  <borders count="144">
    <border>
      <left/>
      <right/>
      <top/>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ck">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ck">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ck">
        <color indexed="64"/>
      </top>
      <bottom style="thick">
        <color indexed="64"/>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thin">
        <color indexed="64"/>
      </top>
      <bottom/>
      <diagonal/>
    </border>
    <border>
      <left/>
      <right/>
      <top style="thin">
        <color indexed="64"/>
      </top>
      <bottom style="thin">
        <color indexed="64"/>
      </bottom>
      <diagonal/>
    </border>
    <border>
      <left/>
      <right style="thin">
        <color indexed="64"/>
      </right>
      <top style="medium">
        <color indexed="64"/>
      </top>
      <bottom/>
      <diagonal/>
    </border>
    <border>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n">
        <color rgb="FFB2B2B2"/>
      </right>
      <top style="thin">
        <color rgb="FFB2B2B2"/>
      </top>
      <bottom style="thin">
        <color rgb="FFB2B2B2"/>
      </bottom>
      <diagonal/>
    </border>
    <border>
      <left style="thin">
        <color rgb="FF7F7F7F"/>
      </left>
      <right style="medium">
        <color indexed="64"/>
      </right>
      <top style="medium">
        <color indexed="64"/>
      </top>
      <bottom style="thin">
        <color rgb="FF7F7F7F"/>
      </bottom>
      <diagonal/>
    </border>
    <border>
      <left style="medium">
        <color indexed="64"/>
      </left>
      <right style="thin">
        <color rgb="FF7F7F7F"/>
      </right>
      <top style="thin">
        <color rgb="FF7F7F7F"/>
      </top>
      <bottom style="medium">
        <color indexed="64"/>
      </bottom>
      <diagonal/>
    </border>
    <border>
      <left style="thin">
        <color rgb="FF7F7F7F"/>
      </left>
      <right style="thin">
        <color rgb="FF7F7F7F"/>
      </right>
      <top style="thin">
        <color rgb="FF7F7F7F"/>
      </top>
      <bottom style="medium">
        <color indexed="64"/>
      </bottom>
      <diagonal/>
    </border>
    <border>
      <left style="thin">
        <color rgb="FF7F7F7F"/>
      </left>
      <right style="medium">
        <color indexed="64"/>
      </right>
      <top style="thin">
        <color rgb="FF7F7F7F"/>
      </top>
      <bottom style="medium">
        <color indexed="64"/>
      </bottom>
      <diagonal/>
    </border>
    <border>
      <left/>
      <right style="thin">
        <color rgb="FF7F7F7F"/>
      </right>
      <top style="thin">
        <color rgb="FF7F7F7F"/>
      </top>
      <bottom style="medium">
        <color indexed="64"/>
      </bottom>
      <diagonal/>
    </border>
    <border>
      <left style="medium">
        <color indexed="64"/>
      </left>
      <right style="thin">
        <color rgb="FF7F7F7F"/>
      </right>
      <top/>
      <bottom style="medium">
        <color indexed="64"/>
      </bottom>
      <diagonal/>
    </border>
    <border>
      <left style="thin">
        <color rgb="FF7F7F7F"/>
      </left>
      <right style="thin">
        <color rgb="FF7F7F7F"/>
      </right>
      <top/>
      <bottom style="medium">
        <color indexed="64"/>
      </bottom>
      <diagonal/>
    </border>
    <border>
      <left style="thin">
        <color rgb="FF7F7F7F"/>
      </left>
      <right style="medium">
        <color indexed="64"/>
      </right>
      <top/>
      <bottom style="medium">
        <color indexed="64"/>
      </bottom>
      <diagonal/>
    </border>
    <border>
      <left style="thin">
        <color rgb="FF7F7F7F"/>
      </left>
      <right style="medium">
        <color indexed="64"/>
      </right>
      <top/>
      <bottom style="thin">
        <color rgb="FF7F7F7F"/>
      </bottom>
      <diagonal/>
    </border>
    <border>
      <left/>
      <right style="thin">
        <color rgb="FF7F7F7F"/>
      </right>
      <top style="medium">
        <color indexed="64"/>
      </top>
      <bottom style="thin">
        <color rgb="FF7F7F7F"/>
      </bottom>
      <diagonal/>
    </border>
    <border>
      <left style="thin">
        <color rgb="FF7F7F7F"/>
      </left>
      <right style="thin">
        <color rgb="FF7F7F7F"/>
      </right>
      <top style="medium">
        <color indexed="64"/>
      </top>
      <bottom style="thin">
        <color rgb="FF7F7F7F"/>
      </bottom>
      <diagonal/>
    </border>
    <border>
      <left style="thin">
        <color rgb="FFB2B2B2"/>
      </left>
      <right style="thin">
        <color rgb="FFB2B2B2"/>
      </right>
      <top style="medium">
        <color indexed="64"/>
      </top>
      <bottom style="thin">
        <color rgb="FFB2B2B2"/>
      </bottom>
      <diagonal/>
    </border>
    <border>
      <left style="thin">
        <color rgb="FFB2B2B2"/>
      </left>
      <right style="medium">
        <color indexed="64"/>
      </right>
      <top style="medium">
        <color indexed="64"/>
      </top>
      <bottom style="thin">
        <color rgb="FFB2B2B2"/>
      </bottom>
      <diagonal/>
    </border>
    <border>
      <left style="thin">
        <color rgb="FFB2B2B2"/>
      </left>
      <right style="thin">
        <color rgb="FFB2B2B2"/>
      </right>
      <top style="thin">
        <color rgb="FFB2B2B2"/>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B2B2B2"/>
      </left>
      <right style="medium">
        <color indexed="64"/>
      </right>
      <top style="medium">
        <color indexed="64"/>
      </top>
      <bottom/>
      <diagonal/>
    </border>
    <border>
      <left style="thin">
        <color rgb="FFB2B2B2"/>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thin">
        <color rgb="FF7F7F7F"/>
      </left>
      <right style="thin">
        <color rgb="FF7F7F7F"/>
      </right>
      <top style="thin">
        <color rgb="FF7F7F7F"/>
      </top>
      <bottom/>
      <diagonal/>
    </border>
    <border>
      <left style="medium">
        <color indexed="64"/>
      </left>
      <right style="thin">
        <color rgb="FF7F7F7F"/>
      </right>
      <top style="medium">
        <color indexed="64"/>
      </top>
      <bottom style="medium">
        <color indexed="64"/>
      </bottom>
      <diagonal/>
    </border>
    <border>
      <left style="thin">
        <color rgb="FF7F7F7F"/>
      </left>
      <right style="thin">
        <color rgb="FF7F7F7F"/>
      </right>
      <top style="medium">
        <color indexed="64"/>
      </top>
      <bottom style="medium">
        <color indexed="64"/>
      </bottom>
      <diagonal/>
    </border>
    <border>
      <left style="thin">
        <color rgb="FF7F7F7F"/>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7F7F7F"/>
      </right>
      <top style="thin">
        <color rgb="FF7F7F7F"/>
      </top>
      <bottom/>
      <diagonal/>
    </border>
    <border>
      <left/>
      <right style="medium">
        <color indexed="64"/>
      </right>
      <top style="medium">
        <color indexed="64"/>
      </top>
      <bottom style="thin">
        <color rgb="FF7F7F7F"/>
      </bottom>
      <diagonal/>
    </border>
    <border>
      <left/>
      <right style="medium">
        <color indexed="64"/>
      </right>
      <top style="thin">
        <color rgb="FF7F7F7F"/>
      </top>
      <bottom style="thin">
        <color rgb="FF7F7F7F"/>
      </bottom>
      <diagonal/>
    </border>
    <border>
      <left/>
      <right style="medium">
        <color indexed="64"/>
      </right>
      <top style="thin">
        <color rgb="FF7F7F7F"/>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diagonal/>
    </border>
    <border>
      <left/>
      <right style="thin">
        <color rgb="FFB2B2B2"/>
      </right>
      <top style="medium">
        <color indexed="64"/>
      </top>
      <bottom style="thin">
        <color rgb="FFB2B2B2"/>
      </bottom>
      <diagonal/>
    </border>
    <border>
      <left/>
      <right style="thin">
        <color rgb="FFB2B2B2"/>
      </right>
      <top style="thin">
        <color rgb="FFB2B2B2"/>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rgb="FF7F7F7F"/>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rgb="FF7F7F7F"/>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rgb="FFB2B2B2"/>
      </bottom>
      <diagonal/>
    </border>
    <border>
      <left style="medium">
        <color indexed="64"/>
      </left>
      <right style="medium">
        <color indexed="64"/>
      </right>
      <top style="thin">
        <color rgb="FFB2B2B2"/>
      </top>
      <bottom style="medium">
        <color indexed="64"/>
      </bottom>
      <diagonal/>
    </border>
    <border>
      <left style="medium">
        <color indexed="64"/>
      </left>
      <right style="thin">
        <color rgb="FF7F7F7F"/>
      </right>
      <top style="thin">
        <color rgb="FF7F7F7F"/>
      </top>
      <bottom style="thin">
        <color rgb="FF7F7F7F"/>
      </bottom>
      <diagonal/>
    </border>
    <border>
      <left/>
      <right style="medium">
        <color indexed="64"/>
      </right>
      <top style="thin">
        <color rgb="FF7F7F7F"/>
      </top>
      <bottom style="medium">
        <color indexed="64"/>
      </bottom>
      <diagonal/>
    </border>
    <border>
      <left style="medium">
        <color indexed="64"/>
      </left>
      <right style="thin">
        <color rgb="FF7F7F7F"/>
      </right>
      <top style="medium">
        <color indexed="64"/>
      </top>
      <bottom style="thin">
        <color rgb="FF7F7F7F"/>
      </bottom>
      <diagonal/>
    </border>
    <border>
      <left style="medium">
        <color indexed="64"/>
      </left>
      <right style="thin">
        <color rgb="FF7F7F7F"/>
      </right>
      <top/>
      <bottom style="thin">
        <color rgb="FF7F7F7F"/>
      </bottom>
      <diagonal/>
    </border>
    <border>
      <left/>
      <right style="medium">
        <color indexed="64"/>
      </right>
      <top style="medium">
        <color indexed="64"/>
      </top>
      <bottom style="thin">
        <color rgb="FFB2B2B2"/>
      </bottom>
      <diagonal/>
    </border>
    <border>
      <left/>
      <right style="medium">
        <color indexed="64"/>
      </right>
      <top style="thin">
        <color rgb="FFB2B2B2"/>
      </top>
      <bottom style="thin">
        <color rgb="FFB2B2B2"/>
      </bottom>
      <diagonal/>
    </border>
    <border>
      <left/>
      <right style="medium">
        <color indexed="64"/>
      </right>
      <top style="thin">
        <color rgb="FFB2B2B2"/>
      </top>
      <bottom style="medium">
        <color indexed="64"/>
      </bottom>
      <diagonal/>
    </border>
    <border>
      <left style="thin">
        <color rgb="FFB2B2B2"/>
      </left>
      <right/>
      <top style="medium">
        <color indexed="64"/>
      </top>
      <bottom style="thin">
        <color rgb="FFB2B2B2"/>
      </bottom>
      <diagonal/>
    </border>
    <border>
      <left style="thin">
        <color rgb="FFB2B2B2"/>
      </left>
      <right style="thin">
        <color rgb="FFB2B2B2"/>
      </right>
      <top style="thin">
        <color rgb="FFB2B2B2"/>
      </top>
      <bottom/>
      <diagonal/>
    </border>
    <border>
      <left/>
      <right style="medium">
        <color indexed="64"/>
      </right>
      <top style="thin">
        <color indexed="64"/>
      </top>
      <bottom style="thin">
        <color rgb="FF7F7F7F"/>
      </bottom>
      <diagonal/>
    </border>
    <border>
      <left style="thin">
        <color rgb="FF7F7F7F"/>
      </left>
      <right style="medium">
        <color indexed="64"/>
      </right>
      <top style="thin">
        <color rgb="FF7F7F7F"/>
      </top>
      <bottom/>
      <diagonal/>
    </border>
    <border>
      <left/>
      <right style="thin">
        <color rgb="FFB2B2B2"/>
      </right>
      <top style="thin">
        <color rgb="FFB2B2B2"/>
      </top>
      <bottom/>
      <diagonal/>
    </border>
    <border>
      <left style="medium">
        <color indexed="64"/>
      </left>
      <right style="thin">
        <color rgb="FF7F7F7F"/>
      </right>
      <top style="thin">
        <color rgb="FF7F7F7F"/>
      </top>
      <bottom/>
      <diagonal/>
    </border>
    <border>
      <left style="thin">
        <color rgb="FF7F7F7F"/>
      </left>
      <right/>
      <top style="medium">
        <color indexed="64"/>
      </top>
      <bottom style="thin">
        <color rgb="FF7F7F7F"/>
      </bottom>
      <diagonal/>
    </border>
    <border>
      <left style="thin">
        <color rgb="FF7F7F7F"/>
      </left>
      <right style="medium">
        <color indexed="64"/>
      </right>
      <top style="medium">
        <color indexed="64"/>
      </top>
      <bottom/>
      <diagonal/>
    </border>
    <border>
      <left style="thin">
        <color rgb="FF7F7F7F"/>
      </left>
      <right/>
      <top style="thin">
        <color rgb="FF7F7F7F"/>
      </top>
      <bottom style="medium">
        <color indexed="64"/>
      </bottom>
      <diagonal/>
    </border>
    <border>
      <left style="thin">
        <color rgb="FF7F7F7F"/>
      </left>
      <right/>
      <top style="medium">
        <color indexed="64"/>
      </top>
      <bottom/>
      <diagonal/>
    </border>
    <border>
      <left style="medium">
        <color indexed="64"/>
      </left>
      <right style="thin">
        <color rgb="FF7F7F7F"/>
      </right>
      <top style="medium">
        <color indexed="64"/>
      </top>
      <bottom style="thin">
        <color indexed="64"/>
      </bottom>
      <diagonal/>
    </border>
    <border>
      <left style="thin">
        <color rgb="FF7F7F7F"/>
      </left>
      <right style="thin">
        <color rgb="FF7F7F7F"/>
      </right>
      <top style="medium">
        <color indexed="64"/>
      </top>
      <bottom style="thin">
        <color indexed="64"/>
      </bottom>
      <diagonal/>
    </border>
    <border>
      <left style="thin">
        <color rgb="FF7F7F7F"/>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rgb="FFB2B2B2"/>
      </left>
      <right style="thin">
        <color theme="2" tint="-0.249977111117893"/>
      </right>
      <top style="thin">
        <color rgb="FFB2B2B2"/>
      </top>
      <bottom style="thin">
        <color rgb="FFB2B2B2"/>
      </bottom>
      <diagonal/>
    </border>
    <border>
      <left style="thin">
        <color rgb="FFB2B2B2"/>
      </left>
      <right style="thin">
        <color theme="2" tint="-0.249977111117893"/>
      </right>
      <top style="thin">
        <color rgb="FFB2B2B2"/>
      </top>
      <bottom style="medium">
        <color indexed="64"/>
      </bottom>
      <diagonal/>
    </border>
    <border>
      <left style="thin">
        <color rgb="FFB2B2B2"/>
      </left>
      <right style="thin">
        <color theme="2" tint="-0.249977111117893"/>
      </right>
      <top style="medium">
        <color indexed="64"/>
      </top>
      <bottom style="thin">
        <color rgb="FFB2B2B2"/>
      </bottom>
      <diagonal/>
    </border>
    <border>
      <left/>
      <right style="thin">
        <color rgb="FFB2B2B2"/>
      </right>
      <top/>
      <bottom style="thin">
        <color rgb="FFB2B2B2"/>
      </bottom>
      <diagonal/>
    </border>
    <border>
      <left style="thin">
        <color rgb="FFB2B2B2"/>
      </left>
      <right style="thin">
        <color rgb="FFB2B2B2"/>
      </right>
      <top/>
      <bottom style="thin">
        <color rgb="FFB2B2B2"/>
      </bottom>
      <diagonal/>
    </border>
    <border>
      <left style="thin">
        <color rgb="FFB2B2B2"/>
      </left>
      <right style="thin">
        <color theme="2" tint="-0.249977111117893"/>
      </right>
      <top/>
      <bottom style="thin">
        <color rgb="FFB2B2B2"/>
      </bottom>
      <diagonal/>
    </border>
    <border>
      <left/>
      <right style="medium">
        <color indexed="64"/>
      </right>
      <top/>
      <bottom style="thin">
        <color rgb="FFB2B2B2"/>
      </bottom>
      <diagonal/>
    </border>
    <border>
      <left style="thin">
        <color rgb="FFB2B2B2"/>
      </left>
      <right style="thin">
        <color rgb="FFB2B2B2"/>
      </right>
      <top style="medium">
        <color indexed="64"/>
      </top>
      <bottom style="medium">
        <color indexed="64"/>
      </bottom>
      <diagonal/>
    </border>
    <border>
      <left style="thin">
        <color rgb="FFB2B2B2"/>
      </left>
      <right style="thin">
        <color theme="2" tint="-0.249977111117893"/>
      </right>
      <top style="medium">
        <color indexed="64"/>
      </top>
      <bottom style="medium">
        <color indexed="64"/>
      </bottom>
      <diagonal/>
    </border>
    <border>
      <left style="thin">
        <color rgb="FFB2B2B2"/>
      </left>
      <right/>
      <top style="thin">
        <color rgb="FFB2B2B2"/>
      </top>
      <bottom style="thin">
        <color rgb="FFB2B2B2"/>
      </bottom>
      <diagonal/>
    </border>
    <border>
      <left style="thin">
        <color rgb="FFB2B2B2"/>
      </left>
      <right/>
      <top style="thin">
        <color rgb="FFB2B2B2"/>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rgb="FFB1BBCC"/>
      </left>
      <right style="thin">
        <color rgb="FFB1BBCC"/>
      </right>
      <top style="thin">
        <color rgb="FFB1BBCC"/>
      </top>
      <bottom style="thin">
        <color rgb="FFB1BBCC"/>
      </bottom>
      <diagonal/>
    </border>
    <border>
      <left style="thin">
        <color rgb="FFB1BBCC"/>
      </left>
      <right style="thin">
        <color rgb="FFB1BBCC"/>
      </right>
      <top/>
      <bottom/>
      <diagonal/>
    </border>
    <border>
      <left style="thin">
        <color rgb="FFB1BBCC"/>
      </left>
      <right/>
      <top/>
      <bottom/>
      <diagonal/>
    </border>
    <border>
      <left style="medium">
        <color rgb="FFFFFFFF"/>
      </left>
      <right style="medium">
        <color rgb="FFFFFFFF"/>
      </right>
      <top style="medium">
        <color rgb="FFFFFFFF"/>
      </top>
      <bottom style="medium">
        <color rgb="FFFFFFFF"/>
      </bottom>
      <diagonal/>
    </border>
  </borders>
  <cellStyleXfs count="14">
    <xf numFmtId="0" fontId="0" fillId="0" borderId="0"/>
    <xf numFmtId="0" fontId="6" fillId="4" borderId="0" applyNumberFormat="0" applyBorder="0" applyAlignment="0" applyProtection="0"/>
    <xf numFmtId="0" fontId="7" fillId="5" borderId="16" applyNumberFormat="0" applyAlignment="0" applyProtection="0"/>
    <xf numFmtId="0" fontId="2" fillId="6" borderId="17"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48" fillId="0" borderId="0" applyNumberFormat="0" applyFill="0" applyBorder="0" applyAlignment="0" applyProtection="0"/>
    <xf numFmtId="169" fontId="2" fillId="0" borderId="0" applyFont="0" applyFill="0" applyBorder="0" applyAlignment="0" applyProtection="0"/>
    <xf numFmtId="0" fontId="51" fillId="0" borderId="0"/>
    <xf numFmtId="9" fontId="51" fillId="0" borderId="0" applyFont="0" applyFill="0" applyBorder="0" applyAlignment="0" applyProtection="0"/>
    <xf numFmtId="0" fontId="54" fillId="0" borderId="0"/>
    <xf numFmtId="44" fontId="2" fillId="0" borderId="0" applyFont="0" applyFill="0" applyBorder="0" applyAlignment="0" applyProtection="0"/>
    <xf numFmtId="0" fontId="66" fillId="30" borderId="0" applyNumberFormat="0" applyBorder="0" applyAlignment="0" applyProtection="0"/>
    <xf numFmtId="0" fontId="10" fillId="0" borderId="0"/>
  </cellStyleXfs>
  <cellXfs count="717">
    <xf numFmtId="0" fontId="0" fillId="0" borderId="0" xfId="0"/>
    <xf numFmtId="0" fontId="3" fillId="2" borderId="1" xfId="0" applyFont="1" applyFill="1" applyBorder="1" applyAlignment="1">
      <alignment horizontal="left" vertical="top" wrapText="1"/>
    </xf>
    <xf numFmtId="0" fontId="3" fillId="2" borderId="2" xfId="0" applyFont="1" applyFill="1" applyBorder="1" applyAlignment="1">
      <alignment horizontal="justify" vertical="top" wrapText="1"/>
    </xf>
    <xf numFmtId="0" fontId="3" fillId="2" borderId="3" xfId="0" applyFont="1" applyFill="1" applyBorder="1" applyAlignment="1">
      <alignment horizontal="justify" vertical="top" wrapText="1"/>
    </xf>
    <xf numFmtId="0" fontId="4" fillId="0" borderId="0" xfId="0" applyFont="1" applyAlignment="1">
      <alignment vertical="top"/>
    </xf>
    <xf numFmtId="0" fontId="5" fillId="3" borderId="5" xfId="0" applyFont="1" applyFill="1" applyBorder="1" applyAlignment="1">
      <alignment horizontal="justify" vertical="top" wrapText="1"/>
    </xf>
    <xf numFmtId="0" fontId="5" fillId="3" borderId="6" xfId="0" applyFont="1" applyFill="1" applyBorder="1" applyAlignment="1">
      <alignment horizontal="justify" vertical="top" wrapText="1"/>
    </xf>
    <xf numFmtId="0" fontId="3" fillId="2" borderId="10" xfId="0" applyFont="1" applyFill="1" applyBorder="1" applyAlignment="1">
      <alignment horizontal="center" vertical="top" wrapText="1"/>
    </xf>
    <xf numFmtId="0" fontId="5" fillId="3" borderId="5" xfId="0" applyFont="1" applyFill="1" applyBorder="1" applyAlignment="1">
      <alignment horizontal="center" vertical="top" wrapText="1"/>
    </xf>
    <xf numFmtId="0" fontId="4" fillId="0" borderId="0" xfId="0" applyFont="1" applyAlignment="1">
      <alignment horizontal="center" vertical="top"/>
    </xf>
    <xf numFmtId="0" fontId="0" fillId="0" borderId="19" xfId="0" applyBorder="1" applyAlignment="1">
      <alignment horizontal="left" vertical="top" wrapText="1"/>
    </xf>
    <xf numFmtId="0" fontId="0" fillId="0" borderId="0" xfId="0" applyBorder="1" applyAlignment="1">
      <alignment horizontal="left" vertical="top" wrapText="1"/>
    </xf>
    <xf numFmtId="0" fontId="0" fillId="7" borderId="0" xfId="0" applyFill="1" applyBorder="1" applyAlignment="1">
      <alignment horizontal="left" vertical="top" wrapText="1"/>
    </xf>
    <xf numFmtId="0" fontId="4" fillId="7" borderId="14" xfId="0" applyFont="1" applyFill="1" applyBorder="1" applyAlignment="1">
      <alignment horizontal="left" vertical="top" wrapText="1"/>
    </xf>
    <xf numFmtId="0" fontId="4" fillId="7" borderId="24" xfId="0" applyFont="1" applyFill="1" applyBorder="1" applyAlignment="1">
      <alignment horizontal="left" vertical="top" wrapText="1"/>
    </xf>
    <xf numFmtId="0" fontId="9" fillId="7" borderId="15" xfId="0" applyFont="1" applyFill="1" applyBorder="1" applyAlignment="1">
      <alignment horizontal="left" vertical="top" wrapText="1"/>
    </xf>
    <xf numFmtId="0" fontId="10" fillId="7" borderId="31" xfId="0" applyFont="1" applyFill="1" applyBorder="1" applyAlignment="1">
      <alignment horizontal="left" vertical="top" wrapText="1"/>
    </xf>
    <xf numFmtId="0" fontId="0" fillId="7" borderId="32" xfId="0" applyFill="1" applyBorder="1" applyAlignment="1">
      <alignment horizontal="left" vertical="top" wrapText="1"/>
    </xf>
    <xf numFmtId="0" fontId="0" fillId="8" borderId="15" xfId="0" applyFill="1" applyBorder="1" applyAlignment="1">
      <alignment vertical="top" wrapText="1"/>
    </xf>
    <xf numFmtId="0" fontId="0" fillId="8" borderId="26" xfId="0" applyFill="1" applyBorder="1" applyAlignment="1">
      <alignment vertical="top" wrapText="1"/>
    </xf>
    <xf numFmtId="0" fontId="11" fillId="8" borderId="5" xfId="0" applyFont="1" applyFill="1" applyBorder="1" applyAlignment="1">
      <alignment vertical="top" wrapText="1"/>
    </xf>
    <xf numFmtId="0" fontId="0" fillId="0" borderId="0" xfId="0" applyAlignment="1">
      <alignment horizontal="left" vertical="top" wrapText="1"/>
    </xf>
    <xf numFmtId="0" fontId="0" fillId="0" borderId="21" xfId="0" applyBorder="1" applyAlignment="1">
      <alignment horizontal="left" vertical="top" wrapText="1"/>
    </xf>
    <xf numFmtId="0" fontId="0" fillId="0" borderId="18" xfId="0" applyBorder="1" applyAlignment="1">
      <alignment horizontal="left" vertical="top" wrapText="1"/>
    </xf>
    <xf numFmtId="0" fontId="0" fillId="0" borderId="20" xfId="0" applyBorder="1" applyAlignment="1">
      <alignment horizontal="left" vertical="top" wrapText="1"/>
    </xf>
    <xf numFmtId="0" fontId="9" fillId="8" borderId="0" xfId="0" applyFont="1" applyFill="1" applyBorder="1" applyAlignment="1">
      <alignment horizontal="center" vertical="top" wrapText="1"/>
    </xf>
    <xf numFmtId="0" fontId="0" fillId="7" borderId="18" xfId="0" applyFill="1" applyBorder="1" applyAlignment="1">
      <alignment horizontal="left" vertical="top" wrapText="1"/>
    </xf>
    <xf numFmtId="0" fontId="9" fillId="8" borderId="0" xfId="0" applyFont="1" applyFill="1" applyBorder="1" applyAlignment="1">
      <alignment horizontal="left" vertical="top" wrapText="1"/>
    </xf>
    <xf numFmtId="0" fontId="0" fillId="8" borderId="0" xfId="0" applyFill="1" applyBorder="1" applyAlignment="1">
      <alignment vertical="top" wrapText="1"/>
    </xf>
    <xf numFmtId="0" fontId="0" fillId="8" borderId="25" xfId="0" applyFill="1" applyBorder="1" applyAlignment="1">
      <alignment vertical="top" wrapText="1"/>
    </xf>
    <xf numFmtId="0" fontId="11" fillId="8" borderId="27" xfId="0" applyFont="1" applyFill="1" applyBorder="1" applyAlignment="1">
      <alignment vertical="top" wrapText="1"/>
    </xf>
    <xf numFmtId="0" fontId="0" fillId="8" borderId="24" xfId="0" applyFill="1" applyBorder="1" applyAlignment="1">
      <alignment vertical="top" wrapText="1"/>
    </xf>
    <xf numFmtId="0" fontId="11" fillId="8" borderId="6" xfId="0" applyFont="1" applyFill="1" applyBorder="1" applyAlignment="1">
      <alignment vertical="top" wrapText="1"/>
    </xf>
    <xf numFmtId="0" fontId="0" fillId="0" borderId="6" xfId="0" applyBorder="1" applyAlignment="1">
      <alignment horizontal="left" vertical="top" wrapText="1"/>
    </xf>
    <xf numFmtId="4" fontId="7" fillId="5" borderId="16" xfId="2" applyNumberFormat="1" applyAlignment="1">
      <alignment horizontal="right" vertical="top" wrapText="1"/>
    </xf>
    <xf numFmtId="4" fontId="7" fillId="5" borderId="36" xfId="2" applyNumberFormat="1" applyBorder="1" applyAlignment="1">
      <alignment horizontal="right" vertical="top" wrapText="1"/>
    </xf>
    <xf numFmtId="0" fontId="9" fillId="8" borderId="6" xfId="0" applyFont="1" applyFill="1" applyBorder="1" applyAlignment="1">
      <alignment horizontal="left" vertical="top" wrapText="1"/>
    </xf>
    <xf numFmtId="4" fontId="7" fillId="5" borderId="37" xfId="2" applyNumberFormat="1" applyBorder="1" applyAlignment="1">
      <alignment horizontal="right" vertical="top" wrapText="1"/>
    </xf>
    <xf numFmtId="4" fontId="13" fillId="6" borderId="17" xfId="3" applyNumberFormat="1" applyFont="1" applyAlignment="1">
      <alignment horizontal="right" vertical="top" wrapText="1"/>
    </xf>
    <xf numFmtId="4" fontId="6" fillId="4" borderId="0" xfId="1" applyNumberFormat="1" applyBorder="1" applyAlignment="1">
      <alignment horizontal="right" vertical="top" wrapText="1"/>
    </xf>
    <xf numFmtId="0" fontId="7" fillId="5" borderId="16" xfId="2" applyAlignment="1">
      <alignment horizontal="left" vertical="top"/>
    </xf>
    <xf numFmtId="0" fontId="0" fillId="0" borderId="39" xfId="0" applyBorder="1" applyAlignment="1">
      <alignment horizontal="left" vertical="top" wrapText="1"/>
    </xf>
    <xf numFmtId="0" fontId="0" fillId="0" borderId="40" xfId="0" applyBorder="1" applyAlignment="1">
      <alignment horizontal="left" vertical="top" wrapText="1"/>
    </xf>
    <xf numFmtId="4" fontId="13" fillId="6" borderId="41" xfId="3" applyNumberFormat="1" applyFont="1" applyBorder="1" applyAlignment="1">
      <alignment horizontal="right" vertical="top" wrapText="1"/>
    </xf>
    <xf numFmtId="4" fontId="7" fillId="5" borderId="42" xfId="2" applyNumberFormat="1" applyBorder="1" applyAlignment="1">
      <alignment horizontal="right" vertical="top" wrapText="1"/>
    </xf>
    <xf numFmtId="4" fontId="7" fillId="5" borderId="45" xfId="2" applyNumberFormat="1" applyBorder="1" applyAlignment="1">
      <alignment horizontal="right" vertical="top" wrapText="1"/>
    </xf>
    <xf numFmtId="0" fontId="0" fillId="0" borderId="13" xfId="0" applyBorder="1" applyAlignment="1">
      <alignment horizontal="left" vertical="top" wrapText="1"/>
    </xf>
    <xf numFmtId="0" fontId="0" fillId="0" borderId="5" xfId="0" applyBorder="1" applyAlignment="1">
      <alignment horizontal="left" vertical="top" wrapText="1"/>
    </xf>
    <xf numFmtId="0" fontId="14" fillId="0" borderId="0" xfId="0" applyFont="1" applyBorder="1"/>
    <xf numFmtId="0" fontId="0" fillId="7" borderId="33" xfId="0" applyFill="1" applyBorder="1" applyAlignment="1">
      <alignment horizontal="left" vertical="top" wrapText="1"/>
    </xf>
    <xf numFmtId="0" fontId="0" fillId="7" borderId="6" xfId="0" applyFill="1" applyBorder="1" applyAlignment="1">
      <alignment horizontal="left" vertical="top" wrapText="1"/>
    </xf>
    <xf numFmtId="0" fontId="0" fillId="0" borderId="68" xfId="0" applyBorder="1" applyAlignment="1">
      <alignment horizontal="left" vertical="top" wrapText="1"/>
    </xf>
    <xf numFmtId="0" fontId="9" fillId="8" borderId="67" xfId="0" applyFont="1" applyFill="1" applyBorder="1" applyAlignment="1">
      <alignment horizontal="left" vertical="top" wrapText="1"/>
    </xf>
    <xf numFmtId="0" fontId="0" fillId="8" borderId="29" xfId="0" applyFill="1" applyBorder="1" applyAlignment="1">
      <alignment vertical="top" wrapText="1"/>
    </xf>
    <xf numFmtId="0" fontId="11" fillId="8" borderId="30" xfId="0" applyFont="1" applyFill="1" applyBorder="1" applyAlignment="1">
      <alignment vertical="top" wrapText="1"/>
    </xf>
    <xf numFmtId="4" fontId="7" fillId="5" borderId="69" xfId="2" applyNumberFormat="1" applyBorder="1" applyAlignment="1">
      <alignment horizontal="right" vertical="top" wrapText="1"/>
    </xf>
    <xf numFmtId="4" fontId="7" fillId="5" borderId="70" xfId="2" applyNumberFormat="1" applyBorder="1" applyAlignment="1">
      <alignment horizontal="right" vertical="top" wrapText="1"/>
    </xf>
    <xf numFmtId="4" fontId="7" fillId="5" borderId="71" xfId="2" applyNumberFormat="1" applyBorder="1" applyAlignment="1">
      <alignment horizontal="right" vertical="top" wrapText="1"/>
    </xf>
    <xf numFmtId="4" fontId="7" fillId="5" borderId="72" xfId="2" applyNumberFormat="1" applyBorder="1" applyAlignment="1">
      <alignment horizontal="right" vertical="top" wrapText="1"/>
    </xf>
    <xf numFmtId="4" fontId="7" fillId="5" borderId="74" xfId="2" applyNumberFormat="1" applyBorder="1" applyAlignment="1">
      <alignment horizontal="right" vertical="top" wrapText="1"/>
    </xf>
    <xf numFmtId="0" fontId="0" fillId="0" borderId="73" xfId="0" applyBorder="1" applyAlignment="1">
      <alignment horizontal="left" vertical="top" wrapText="1"/>
    </xf>
    <xf numFmtId="0" fontId="10" fillId="7" borderId="35" xfId="0" applyFont="1" applyFill="1" applyBorder="1" applyAlignment="1">
      <alignment horizontal="left" vertical="top" wrapText="1"/>
    </xf>
    <xf numFmtId="0" fontId="0" fillId="7" borderId="27" xfId="0" applyFill="1" applyBorder="1" applyAlignment="1">
      <alignment horizontal="left" vertical="top" wrapText="1"/>
    </xf>
    <xf numFmtId="4" fontId="7" fillId="5" borderId="75" xfId="2" applyNumberFormat="1" applyBorder="1" applyAlignment="1">
      <alignment horizontal="right" vertical="top" wrapText="1"/>
    </xf>
    <xf numFmtId="4" fontId="7" fillId="5" borderId="76" xfId="2" applyNumberFormat="1" applyBorder="1" applyAlignment="1">
      <alignment horizontal="right" vertical="top" wrapText="1"/>
    </xf>
    <xf numFmtId="4" fontId="7" fillId="5" borderId="77" xfId="2" applyNumberFormat="1" applyBorder="1" applyAlignment="1">
      <alignment horizontal="right" vertical="top" wrapText="1"/>
    </xf>
    <xf numFmtId="0" fontId="0" fillId="7" borderId="8" xfId="0" applyFill="1" applyBorder="1" applyAlignment="1">
      <alignment horizontal="left" vertical="top" wrapText="1"/>
    </xf>
    <xf numFmtId="0" fontId="0" fillId="7" borderId="9" xfId="0" applyFill="1" applyBorder="1" applyAlignment="1">
      <alignment horizontal="left" vertical="top" wrapText="1"/>
    </xf>
    <xf numFmtId="0" fontId="6" fillId="4" borderId="78" xfId="1" applyBorder="1" applyAlignment="1">
      <alignment horizontal="right" vertical="top" wrapText="1"/>
    </xf>
    <xf numFmtId="4" fontId="7" fillId="5" borderId="36" xfId="2" applyNumberFormat="1" applyBorder="1" applyAlignment="1">
      <alignment horizontal="left" vertical="top" wrapText="1"/>
    </xf>
    <xf numFmtId="4" fontId="7" fillId="5" borderId="79" xfId="2" applyNumberFormat="1" applyBorder="1" applyAlignment="1">
      <alignment horizontal="right" vertical="top" wrapText="1"/>
    </xf>
    <xf numFmtId="4" fontId="7" fillId="5" borderId="80" xfId="2" applyNumberFormat="1" applyBorder="1" applyAlignment="1">
      <alignment horizontal="right" vertical="top" wrapText="1"/>
    </xf>
    <xf numFmtId="4" fontId="7" fillId="5" borderId="81" xfId="2" applyNumberFormat="1" applyBorder="1" applyAlignment="1">
      <alignment horizontal="right" vertical="top" wrapText="1"/>
    </xf>
    <xf numFmtId="0" fontId="0" fillId="0" borderId="0" xfId="0" applyAlignment="1">
      <alignment wrapText="1"/>
    </xf>
    <xf numFmtId="0" fontId="9" fillId="0" borderId="0" xfId="0" applyFont="1" applyBorder="1" applyAlignment="1">
      <alignment horizontal="left" vertical="top" wrapText="1"/>
    </xf>
    <xf numFmtId="0" fontId="9" fillId="0" borderId="28" xfId="0" applyFont="1" applyBorder="1" applyAlignment="1">
      <alignment horizontal="left" vertical="top" wrapText="1"/>
    </xf>
    <xf numFmtId="3" fontId="7" fillId="5" borderId="14" xfId="2" applyNumberFormat="1" applyBorder="1" applyAlignment="1">
      <alignment horizontal="right" vertical="top" wrapText="1"/>
    </xf>
    <xf numFmtId="3" fontId="7" fillId="5" borderId="24" xfId="2" applyNumberFormat="1" applyBorder="1" applyAlignment="1">
      <alignment horizontal="right" vertical="top" wrapText="1"/>
    </xf>
    <xf numFmtId="3" fontId="7" fillId="5" borderId="15" xfId="2" applyNumberFormat="1" applyBorder="1" applyAlignment="1">
      <alignment horizontal="right" vertical="top" wrapText="1"/>
    </xf>
    <xf numFmtId="0" fontId="0" fillId="0" borderId="8" xfId="0" applyBorder="1" applyAlignment="1">
      <alignment horizontal="left" vertical="top" wrapText="1"/>
    </xf>
    <xf numFmtId="0" fontId="0" fillId="0" borderId="78" xfId="0" applyBorder="1" applyAlignment="1">
      <alignment horizontal="left" vertical="top" wrapText="1"/>
    </xf>
    <xf numFmtId="0" fontId="0" fillId="0" borderId="9" xfId="0" applyBorder="1" applyAlignment="1">
      <alignment horizontal="left" vertical="top" wrapText="1"/>
    </xf>
    <xf numFmtId="0" fontId="9" fillId="7" borderId="22" xfId="0" applyFont="1" applyFill="1" applyBorder="1" applyAlignment="1">
      <alignment horizontal="center" vertical="top" wrapText="1"/>
    </xf>
    <xf numFmtId="3" fontId="7" fillId="5" borderId="14" xfId="2" applyNumberFormat="1" applyBorder="1" applyAlignment="1">
      <alignment vertical="top" wrapText="1"/>
    </xf>
    <xf numFmtId="3" fontId="7" fillId="5" borderId="24" xfId="2" applyNumberFormat="1" applyBorder="1" applyAlignment="1">
      <alignment vertical="top" wrapText="1"/>
    </xf>
    <xf numFmtId="3" fontId="7" fillId="5" borderId="15" xfId="2" applyNumberFormat="1" applyBorder="1" applyAlignment="1">
      <alignment vertical="top" wrapText="1"/>
    </xf>
    <xf numFmtId="0" fontId="9" fillId="11" borderId="6" xfId="0" applyFont="1" applyFill="1" applyBorder="1" applyAlignment="1">
      <alignment horizontal="left" vertical="top" wrapText="1"/>
    </xf>
    <xf numFmtId="0" fontId="9" fillId="8" borderId="30" xfId="0" applyFont="1" applyFill="1" applyBorder="1" applyAlignment="1">
      <alignment horizontal="left" vertical="top" wrapText="1"/>
    </xf>
    <xf numFmtId="0" fontId="9" fillId="12" borderId="6" xfId="0" applyFont="1" applyFill="1" applyBorder="1" applyAlignment="1">
      <alignment horizontal="left" vertical="top" wrapText="1"/>
    </xf>
    <xf numFmtId="3" fontId="7" fillId="5" borderId="70" xfId="2" applyNumberFormat="1" applyBorder="1" applyAlignment="1">
      <alignment horizontal="right" vertical="top" wrapText="1"/>
    </xf>
    <xf numFmtId="3" fontId="7" fillId="5" borderId="71" xfId="2" applyNumberFormat="1" applyBorder="1" applyAlignment="1">
      <alignment horizontal="right" vertical="top" wrapText="1"/>
    </xf>
    <xf numFmtId="0" fontId="9" fillId="11" borderId="30" xfId="0" applyFont="1" applyFill="1" applyBorder="1" applyAlignment="1">
      <alignment horizontal="left" vertical="top" wrapText="1"/>
    </xf>
    <xf numFmtId="0" fontId="9" fillId="12" borderId="30" xfId="0" applyFont="1" applyFill="1" applyBorder="1" applyAlignment="1">
      <alignment horizontal="left" vertical="top" wrapText="1"/>
    </xf>
    <xf numFmtId="0" fontId="29" fillId="0" borderId="0" xfId="0" applyFont="1" applyAlignment="1">
      <alignment horizontal="center"/>
    </xf>
    <xf numFmtId="0" fontId="30" fillId="0" borderId="0" xfId="0" applyFont="1"/>
    <xf numFmtId="49" fontId="30" fillId="0" borderId="0" xfId="0" applyNumberFormat="1" applyFont="1"/>
    <xf numFmtId="3" fontId="7" fillId="5" borderId="71" xfId="2" applyNumberFormat="1" applyBorder="1"/>
    <xf numFmtId="0" fontId="28" fillId="0" borderId="0" xfId="0" applyFont="1" applyAlignment="1">
      <alignment horizontal="center"/>
    </xf>
    <xf numFmtId="0" fontId="30" fillId="0" borderId="0" xfId="0" applyFont="1" applyBorder="1" applyAlignment="1">
      <alignment horizontal="center"/>
    </xf>
    <xf numFmtId="0" fontId="29" fillId="0" borderId="0" xfId="0" applyFont="1" applyAlignment="1"/>
    <xf numFmtId="0" fontId="29" fillId="0" borderId="0" xfId="0" applyFont="1" applyAlignment="1">
      <alignment wrapText="1"/>
    </xf>
    <xf numFmtId="0" fontId="28" fillId="0" borderId="0" xfId="0" applyFont="1" applyAlignment="1"/>
    <xf numFmtId="0" fontId="29" fillId="0" borderId="0" xfId="0" applyFont="1" applyBorder="1" applyAlignment="1"/>
    <xf numFmtId="0" fontId="0" fillId="0" borderId="0" xfId="0" applyBorder="1"/>
    <xf numFmtId="0" fontId="30" fillId="0" borderId="0" xfId="0" applyFont="1" applyBorder="1" applyAlignment="1"/>
    <xf numFmtId="0" fontId="9" fillId="8" borderId="67" xfId="0" applyFont="1" applyFill="1" applyBorder="1" applyAlignment="1">
      <alignment horizontal="center" vertical="top" wrapText="1"/>
    </xf>
    <xf numFmtId="3" fontId="7" fillId="5" borderId="36" xfId="2" applyNumberFormat="1" applyBorder="1"/>
    <xf numFmtId="3" fontId="7" fillId="5" borderId="86" xfId="2" applyNumberFormat="1" applyBorder="1"/>
    <xf numFmtId="0" fontId="0" fillId="7" borderId="87" xfId="0" applyFill="1" applyBorder="1" applyAlignment="1">
      <alignment horizontal="center" vertical="top" wrapText="1"/>
    </xf>
    <xf numFmtId="3" fontId="7" fillId="5" borderId="80" xfId="2" applyNumberFormat="1" applyBorder="1" applyAlignment="1">
      <alignment horizontal="right"/>
    </xf>
    <xf numFmtId="3" fontId="7" fillId="5" borderId="81" xfId="2" applyNumberFormat="1" applyBorder="1" applyAlignment="1">
      <alignment horizontal="right"/>
    </xf>
    <xf numFmtId="3" fontId="7" fillId="5" borderId="67" xfId="2" applyNumberFormat="1" applyBorder="1"/>
    <xf numFmtId="3" fontId="7" fillId="5" borderId="30" xfId="2" applyNumberFormat="1" applyBorder="1"/>
    <xf numFmtId="3" fontId="7" fillId="5" borderId="88" xfId="2" applyNumberFormat="1" applyBorder="1"/>
    <xf numFmtId="0" fontId="27" fillId="0" borderId="14" xfId="0" applyFont="1" applyBorder="1" applyAlignment="1"/>
    <xf numFmtId="0" fontId="27" fillId="0" borderId="23" xfId="0" applyFont="1" applyBorder="1" applyAlignment="1"/>
    <xf numFmtId="0" fontId="29" fillId="0" borderId="24" xfId="0" applyFont="1" applyBorder="1" applyAlignment="1"/>
    <xf numFmtId="0" fontId="0" fillId="0" borderId="0" xfId="0" applyFill="1" applyBorder="1" applyAlignment="1">
      <alignment horizontal="left" vertical="top" wrapText="1"/>
    </xf>
    <xf numFmtId="0" fontId="8" fillId="0" borderId="0" xfId="0" applyFont="1"/>
    <xf numFmtId="0" fontId="5" fillId="3" borderId="67" xfId="0" applyFont="1" applyFill="1" applyBorder="1" applyAlignment="1">
      <alignment horizontal="left" vertical="top" wrapText="1"/>
    </xf>
    <xf numFmtId="0" fontId="5" fillId="3" borderId="67" xfId="0" applyFont="1" applyFill="1" applyBorder="1" applyAlignment="1">
      <alignment horizontal="center" vertical="top" wrapText="1"/>
    </xf>
    <xf numFmtId="0" fontId="3" fillId="6" borderId="30" xfId="3" applyFont="1" applyBorder="1" applyAlignment="1">
      <alignment vertical="top"/>
    </xf>
    <xf numFmtId="0" fontId="0" fillId="0" borderId="38" xfId="0" applyFont="1" applyBorder="1" applyAlignment="1">
      <alignment horizontal="left"/>
    </xf>
    <xf numFmtId="0" fontId="0" fillId="0" borderId="39" xfId="0" applyFont="1" applyBorder="1" applyAlignment="1">
      <alignment horizontal="left"/>
    </xf>
    <xf numFmtId="0" fontId="0" fillId="7" borderId="85" xfId="0" applyFill="1" applyBorder="1" applyAlignment="1">
      <alignment horizontal="center" vertical="top" wrapText="1"/>
    </xf>
    <xf numFmtId="0" fontId="0" fillId="7" borderId="58" xfId="0" applyFill="1" applyBorder="1" applyAlignment="1">
      <alignment horizontal="center" vertical="top" wrapText="1"/>
    </xf>
    <xf numFmtId="0" fontId="0" fillId="7" borderId="59" xfId="0" applyFill="1" applyBorder="1" applyAlignment="1">
      <alignment horizontal="center" vertical="top" wrapText="1"/>
    </xf>
    <xf numFmtId="3" fontId="7" fillId="5" borderId="91" xfId="2" applyNumberFormat="1" applyBorder="1"/>
    <xf numFmtId="3" fontId="7" fillId="5" borderId="76" xfId="2" applyNumberFormat="1" applyBorder="1"/>
    <xf numFmtId="3" fontId="7" fillId="5" borderId="43" xfId="2" applyNumberFormat="1" applyBorder="1"/>
    <xf numFmtId="3" fontId="7" fillId="5" borderId="46" xfId="2" applyNumberFormat="1" applyBorder="1"/>
    <xf numFmtId="3" fontId="7" fillId="5" borderId="92" xfId="2" applyNumberFormat="1" applyBorder="1"/>
    <xf numFmtId="3" fontId="13" fillId="6" borderId="82" xfId="3" applyNumberFormat="1" applyFont="1" applyBorder="1" applyAlignment="1">
      <alignment vertical="top" wrapText="1"/>
    </xf>
    <xf numFmtId="3" fontId="13" fillId="6" borderId="53" xfId="3" applyNumberFormat="1" applyFont="1" applyBorder="1" applyAlignment="1">
      <alignment vertical="top" wrapText="1"/>
    </xf>
    <xf numFmtId="3" fontId="13" fillId="6" borderId="41" xfId="3" applyNumberFormat="1" applyFont="1" applyBorder="1" applyAlignment="1">
      <alignment vertical="top" wrapText="1"/>
    </xf>
    <xf numFmtId="3" fontId="13" fillId="6" borderId="17" xfId="3" applyNumberFormat="1" applyFont="1" applyBorder="1" applyAlignment="1">
      <alignment vertical="top" wrapText="1"/>
    </xf>
    <xf numFmtId="3" fontId="13" fillId="6" borderId="83" xfId="3" applyNumberFormat="1" applyFont="1" applyBorder="1" applyAlignment="1">
      <alignment vertical="top" wrapText="1"/>
    </xf>
    <xf numFmtId="3" fontId="13" fillId="6" borderId="55" xfId="3" applyNumberFormat="1" applyFont="1" applyBorder="1" applyAlignment="1">
      <alignment vertical="top" wrapText="1"/>
    </xf>
    <xf numFmtId="3" fontId="13" fillId="6" borderId="82" xfId="3" applyNumberFormat="1" applyFont="1" applyBorder="1" applyAlignment="1">
      <alignment horizontal="right" vertical="top" wrapText="1"/>
    </xf>
    <xf numFmtId="3" fontId="13" fillId="6" borderId="53" xfId="3" applyNumberFormat="1" applyFont="1" applyBorder="1" applyAlignment="1">
      <alignment horizontal="right" vertical="top" wrapText="1"/>
    </xf>
    <xf numFmtId="3" fontId="13" fillId="6" borderId="41" xfId="3" applyNumberFormat="1" applyFont="1" applyBorder="1" applyAlignment="1">
      <alignment horizontal="right" vertical="top" wrapText="1"/>
    </xf>
    <xf numFmtId="3" fontId="13" fillId="6" borderId="17" xfId="3" applyNumberFormat="1" applyFont="1" applyBorder="1" applyAlignment="1">
      <alignment horizontal="right" vertical="top" wrapText="1"/>
    </xf>
    <xf numFmtId="3" fontId="13" fillId="6" borderId="83" xfId="3" applyNumberFormat="1" applyFont="1" applyBorder="1" applyAlignment="1">
      <alignment horizontal="right" vertical="top" wrapText="1"/>
    </xf>
    <xf numFmtId="3" fontId="13" fillId="6" borderId="55" xfId="3" applyNumberFormat="1" applyFont="1" applyBorder="1" applyAlignment="1">
      <alignment horizontal="right" vertical="top" wrapText="1"/>
    </xf>
    <xf numFmtId="3" fontId="7" fillId="5" borderId="93" xfId="2" applyNumberFormat="1" applyBorder="1" applyAlignment="1">
      <alignment horizontal="right" vertical="top" wrapText="1"/>
    </xf>
    <xf numFmtId="3" fontId="7" fillId="5" borderId="52" xfId="2" applyNumberFormat="1" applyBorder="1" applyAlignment="1">
      <alignment horizontal="right" vertical="top" wrapText="1"/>
    </xf>
    <xf numFmtId="3" fontId="7" fillId="5" borderId="47" xfId="2" applyNumberFormat="1" applyBorder="1" applyAlignment="1">
      <alignment vertical="top" wrapText="1"/>
    </xf>
    <xf numFmtId="3" fontId="7" fillId="5" borderId="44" xfId="2" applyNumberFormat="1" applyBorder="1" applyAlignment="1">
      <alignment vertical="top" wrapText="1"/>
    </xf>
    <xf numFmtId="3" fontId="7" fillId="5" borderId="94" xfId="2" applyNumberFormat="1" applyBorder="1" applyAlignment="1">
      <alignment vertical="top" wrapText="1"/>
    </xf>
    <xf numFmtId="3" fontId="7" fillId="5" borderId="16" xfId="2" applyNumberFormat="1" applyBorder="1" applyAlignment="1">
      <alignment vertical="top" wrapText="1"/>
    </xf>
    <xf numFmtId="0" fontId="0" fillId="0" borderId="0" xfId="0" applyBorder="1" applyAlignment="1">
      <alignment horizontal="left" vertical="top" wrapText="1"/>
    </xf>
    <xf numFmtId="0" fontId="34" fillId="0" borderId="0" xfId="0" applyFont="1"/>
    <xf numFmtId="4" fontId="7" fillId="5" borderId="50" xfId="2" applyNumberFormat="1" applyBorder="1" applyAlignment="1">
      <alignment horizontal="right" vertical="top" wrapText="1"/>
    </xf>
    <xf numFmtId="4" fontId="0" fillId="0" borderId="0" xfId="0" applyNumberFormat="1" applyBorder="1" applyAlignment="1">
      <alignment horizontal="left" vertical="top" wrapText="1"/>
    </xf>
    <xf numFmtId="0" fontId="2" fillId="7" borderId="56" xfId="0" applyFont="1" applyFill="1" applyBorder="1" applyAlignment="1">
      <alignment horizontal="center" vertical="top" wrapText="1"/>
    </xf>
    <xf numFmtId="0" fontId="2" fillId="7" borderId="85" xfId="0" applyFont="1" applyFill="1" applyBorder="1" applyAlignment="1">
      <alignment horizontal="center" vertical="top" wrapText="1"/>
    </xf>
    <xf numFmtId="0" fontId="2" fillId="7" borderId="58" xfId="0" applyFont="1" applyFill="1" applyBorder="1" applyAlignment="1">
      <alignment horizontal="center" vertical="top" wrapText="1"/>
    </xf>
    <xf numFmtId="0" fontId="2" fillId="7" borderId="59" xfId="0" applyFont="1" applyFill="1" applyBorder="1" applyAlignment="1">
      <alignment horizontal="center" vertical="top" wrapText="1"/>
    </xf>
    <xf numFmtId="0" fontId="2" fillId="0" borderId="38" xfId="0" applyFont="1" applyBorder="1" applyAlignment="1">
      <alignment horizontal="left"/>
    </xf>
    <xf numFmtId="3" fontId="7" fillId="5" borderId="80" xfId="2" applyNumberFormat="1" applyFont="1" applyBorder="1" applyAlignment="1">
      <alignment horizontal="right"/>
    </xf>
    <xf numFmtId="3" fontId="7" fillId="5" borderId="91" xfId="2" applyNumberFormat="1" applyFont="1" applyBorder="1"/>
    <xf numFmtId="3" fontId="7" fillId="5" borderId="36" xfId="2" applyNumberFormat="1" applyFont="1" applyBorder="1"/>
    <xf numFmtId="3" fontId="7" fillId="5" borderId="76" xfId="2" applyNumberFormat="1" applyFont="1" applyBorder="1"/>
    <xf numFmtId="0" fontId="0" fillId="0" borderId="38" xfId="0" applyBorder="1" applyAlignment="1">
      <alignment horizontal="left"/>
    </xf>
    <xf numFmtId="0" fontId="0" fillId="0" borderId="39" xfId="0" applyBorder="1" applyAlignment="1">
      <alignment horizontal="left"/>
    </xf>
    <xf numFmtId="3" fontId="7" fillId="5" borderId="81" xfId="2" applyNumberFormat="1" applyFont="1" applyBorder="1" applyAlignment="1">
      <alignment horizontal="right"/>
    </xf>
    <xf numFmtId="3" fontId="7" fillId="5" borderId="43" xfId="2" applyNumberFormat="1" applyFont="1" applyBorder="1"/>
    <xf numFmtId="3" fontId="7" fillId="5" borderId="46" xfId="2" applyNumberFormat="1" applyFont="1" applyBorder="1"/>
    <xf numFmtId="3" fontId="7" fillId="5" borderId="67" xfId="2" applyNumberFormat="1" applyFont="1" applyBorder="1"/>
    <xf numFmtId="3" fontId="7" fillId="5" borderId="86" xfId="2" applyNumberFormat="1" applyFont="1" applyBorder="1"/>
    <xf numFmtId="3" fontId="7" fillId="5" borderId="71" xfId="2" applyNumberFormat="1" applyFont="1" applyBorder="1"/>
    <xf numFmtId="3" fontId="7" fillId="5" borderId="88" xfId="2" applyNumberFormat="1" applyFont="1" applyBorder="1"/>
    <xf numFmtId="3" fontId="7" fillId="5" borderId="30" xfId="2" applyNumberFormat="1" applyFont="1" applyBorder="1"/>
    <xf numFmtId="3" fontId="7" fillId="5" borderId="100" xfId="2" applyNumberFormat="1" applyFont="1" applyBorder="1"/>
    <xf numFmtId="3" fontId="7" fillId="5" borderId="92" xfId="2" applyNumberFormat="1" applyFont="1" applyBorder="1"/>
    <xf numFmtId="3" fontId="7" fillId="5" borderId="16" xfId="2" applyNumberFormat="1" applyFont="1" applyBorder="1"/>
    <xf numFmtId="4" fontId="7" fillId="5" borderId="101" xfId="2" applyNumberFormat="1" applyBorder="1" applyAlignment="1">
      <alignment horizontal="right" vertical="top" wrapText="1"/>
    </xf>
    <xf numFmtId="4" fontId="7" fillId="0" borderId="0" xfId="2" applyNumberFormat="1" applyFill="1" applyBorder="1" applyAlignment="1">
      <alignment horizontal="right" vertical="top" wrapText="1"/>
    </xf>
    <xf numFmtId="4" fontId="0" fillId="0" borderId="0" xfId="0" applyNumberFormat="1"/>
    <xf numFmtId="4" fontId="13" fillId="6" borderId="102" xfId="3" applyNumberFormat="1" applyFont="1" applyBorder="1" applyAlignment="1">
      <alignment horizontal="right" vertical="top" wrapText="1"/>
    </xf>
    <xf numFmtId="4" fontId="13" fillId="6" borderId="99" xfId="3" applyNumberFormat="1" applyFont="1" applyBorder="1" applyAlignment="1">
      <alignment horizontal="right" vertical="top" wrapText="1"/>
    </xf>
    <xf numFmtId="4" fontId="7" fillId="5" borderId="103" xfId="2" applyNumberFormat="1" applyBorder="1" applyAlignment="1">
      <alignment horizontal="right" vertical="top" wrapText="1"/>
    </xf>
    <xf numFmtId="0" fontId="8" fillId="0" borderId="87" xfId="0" applyFont="1" applyBorder="1" applyAlignment="1">
      <alignment horizontal="left" vertical="top" wrapText="1"/>
    </xf>
    <xf numFmtId="0" fontId="8" fillId="0" borderId="9" xfId="0" applyFont="1" applyBorder="1" applyAlignment="1">
      <alignment horizontal="left" vertical="top" wrapText="1"/>
    </xf>
    <xf numFmtId="4" fontId="8" fillId="13" borderId="51" xfId="2" applyNumberFormat="1" applyFont="1" applyFill="1" applyBorder="1" applyAlignment="1">
      <alignment horizontal="right" vertical="top" wrapText="1"/>
    </xf>
    <xf numFmtId="4" fontId="8" fillId="13" borderId="42" xfId="2" applyNumberFormat="1" applyFont="1" applyFill="1" applyBorder="1" applyAlignment="1">
      <alignment horizontal="right" vertical="top" wrapText="1"/>
    </xf>
    <xf numFmtId="4" fontId="8" fillId="13" borderId="52" xfId="2" applyNumberFormat="1" applyFont="1" applyFill="1" applyBorder="1" applyAlignment="1">
      <alignment horizontal="right" vertical="top" wrapText="1"/>
    </xf>
    <xf numFmtId="4" fontId="8" fillId="13" borderId="104" xfId="2" applyNumberFormat="1" applyFont="1" applyFill="1" applyBorder="1" applyAlignment="1">
      <alignment horizontal="right" vertical="top" wrapText="1"/>
    </xf>
    <xf numFmtId="4" fontId="8" fillId="13" borderId="93" xfId="2" applyNumberFormat="1" applyFont="1" applyFill="1" applyBorder="1" applyAlignment="1">
      <alignment horizontal="right" vertical="top" wrapText="1"/>
    </xf>
    <xf numFmtId="4" fontId="8" fillId="13" borderId="107" xfId="2" applyNumberFormat="1" applyFont="1" applyFill="1" applyBorder="1" applyAlignment="1">
      <alignment horizontal="right" vertical="top" wrapText="1"/>
    </xf>
    <xf numFmtId="4" fontId="8" fillId="13" borderId="105" xfId="2" applyNumberFormat="1" applyFont="1" applyFill="1" applyBorder="1" applyAlignment="1">
      <alignment horizontal="right" vertical="top" wrapText="1"/>
    </xf>
    <xf numFmtId="4" fontId="8" fillId="13" borderId="46" xfId="2" applyNumberFormat="1" applyFont="1" applyFill="1" applyBorder="1" applyAlignment="1">
      <alignment horizontal="right" vertical="top" wrapText="1"/>
    </xf>
    <xf numFmtId="4" fontId="8" fillId="13" borderId="45" xfId="2" applyNumberFormat="1" applyFont="1" applyFill="1" applyBorder="1" applyAlignment="1">
      <alignment horizontal="right" vertical="top" wrapText="1"/>
    </xf>
    <xf numFmtId="4" fontId="2" fillId="13" borderId="26" xfId="1" applyNumberFormat="1" applyFont="1" applyFill="1" applyBorder="1" applyAlignment="1">
      <alignment horizontal="right" vertical="top" wrapText="1"/>
    </xf>
    <xf numFmtId="4" fontId="8" fillId="13" borderId="44" xfId="2" applyNumberFormat="1" applyFont="1" applyFill="1" applyBorder="1" applyAlignment="1">
      <alignment horizontal="right" vertical="top" wrapText="1"/>
    </xf>
    <xf numFmtId="4" fontId="8" fillId="13" borderId="106" xfId="2" applyNumberFormat="1" applyFont="1" applyFill="1" applyBorder="1" applyAlignment="1">
      <alignment horizontal="right" vertical="top" wrapText="1"/>
    </xf>
    <xf numFmtId="4" fontId="8" fillId="13" borderId="43" xfId="2" applyNumberFormat="1" applyFont="1" applyFill="1" applyBorder="1" applyAlignment="1">
      <alignment horizontal="right" vertical="top" wrapText="1"/>
    </xf>
    <xf numFmtId="0" fontId="8" fillId="13" borderId="68" xfId="0" applyFont="1" applyFill="1" applyBorder="1" applyAlignment="1">
      <alignment horizontal="left" vertical="top" wrapText="1"/>
    </xf>
    <xf numFmtId="164" fontId="8" fillId="13" borderId="47" xfId="5" applyNumberFormat="1" applyFont="1" applyFill="1" applyBorder="1" applyAlignment="1">
      <alignment horizontal="right" vertical="top" wrapText="1"/>
    </xf>
    <xf numFmtId="164" fontId="8" fillId="13" borderId="48" xfId="5" applyNumberFormat="1" applyFont="1" applyFill="1" applyBorder="1" applyAlignment="1">
      <alignment horizontal="right" vertical="top" wrapText="1"/>
    </xf>
    <xf numFmtId="164" fontId="8" fillId="13" borderId="49" xfId="5" applyNumberFormat="1" applyFont="1" applyFill="1" applyBorder="1" applyAlignment="1">
      <alignment horizontal="right" vertical="top" wrapText="1"/>
    </xf>
    <xf numFmtId="164" fontId="8" fillId="13" borderId="108" xfId="5" applyNumberFormat="1" applyFont="1" applyFill="1" applyBorder="1" applyAlignment="1">
      <alignment horizontal="right" vertical="top" wrapText="1"/>
    </xf>
    <xf numFmtId="164" fontId="8" fillId="13" borderId="109" xfId="5" applyNumberFormat="1" applyFont="1" applyFill="1" applyBorder="1" applyAlignment="1">
      <alignment horizontal="right" vertical="top" wrapText="1"/>
    </xf>
    <xf numFmtId="164" fontId="8" fillId="13" borderId="110" xfId="5" applyNumberFormat="1" applyFont="1" applyFill="1" applyBorder="1" applyAlignment="1">
      <alignment horizontal="right" vertical="top" wrapText="1"/>
    </xf>
    <xf numFmtId="0" fontId="0" fillId="0" borderId="0" xfId="0" applyFill="1"/>
    <xf numFmtId="0" fontId="5" fillId="3" borderId="4" xfId="0" applyFont="1" applyFill="1" applyBorder="1" applyAlignment="1">
      <alignment horizontal="left" vertical="top" wrapText="1"/>
    </xf>
    <xf numFmtId="4" fontId="7" fillId="5" borderId="115" xfId="2" applyNumberFormat="1" applyBorder="1" applyAlignment="1">
      <alignment horizontal="right" vertical="top" wrapText="1"/>
    </xf>
    <xf numFmtId="4" fontId="7" fillId="5" borderId="114" xfId="2" applyNumberFormat="1" applyBorder="1" applyAlignment="1">
      <alignment horizontal="right" vertical="top" wrapText="1"/>
    </xf>
    <xf numFmtId="2" fontId="34" fillId="0" borderId="0" xfId="0" applyNumberFormat="1" applyFont="1"/>
    <xf numFmtId="0" fontId="0" fillId="0" borderId="0" xfId="0" applyAlignment="1">
      <alignment vertical="center"/>
    </xf>
    <xf numFmtId="0" fontId="0" fillId="0" borderId="0" xfId="0" applyAlignment="1">
      <alignment horizontal="left" vertical="center"/>
    </xf>
    <xf numFmtId="0" fontId="9" fillId="0" borderId="28" xfId="0" applyFont="1" applyBorder="1" applyAlignment="1">
      <alignment horizontal="left" vertical="center" wrapText="1"/>
    </xf>
    <xf numFmtId="0" fontId="35" fillId="0" borderId="28" xfId="0" applyFont="1" applyBorder="1" applyAlignment="1">
      <alignment horizontal="left" vertical="center" wrapText="1"/>
    </xf>
    <xf numFmtId="4" fontId="37" fillId="5" borderId="115" xfId="2" applyNumberFormat="1" applyFont="1" applyBorder="1" applyAlignment="1">
      <alignment horizontal="left" vertical="center" wrapText="1"/>
    </xf>
    <xf numFmtId="4" fontId="7" fillId="13" borderId="114" xfId="2" applyNumberFormat="1" applyFill="1" applyBorder="1" applyAlignment="1">
      <alignment horizontal="right" vertical="center" wrapText="1"/>
    </xf>
    <xf numFmtId="165" fontId="36" fillId="13" borderId="114" xfId="4" applyNumberFormat="1" applyFont="1" applyFill="1" applyBorder="1" applyAlignment="1">
      <alignment horizontal="right" vertical="center" wrapText="1"/>
    </xf>
    <xf numFmtId="3" fontId="36" fillId="13" borderId="114" xfId="4" applyNumberFormat="1" applyFont="1" applyFill="1" applyBorder="1" applyAlignment="1">
      <alignment horizontal="right" vertical="center" wrapText="1"/>
    </xf>
    <xf numFmtId="0" fontId="38" fillId="0" borderId="0" xfId="0" applyFont="1" applyAlignment="1">
      <alignment horizontal="right" vertical="center"/>
    </xf>
    <xf numFmtId="4" fontId="39" fillId="10" borderId="114" xfId="2" applyNumberFormat="1" applyFont="1" applyFill="1" applyBorder="1" applyAlignment="1">
      <alignment horizontal="right" vertical="center" wrapText="1"/>
    </xf>
    <xf numFmtId="165" fontId="40" fillId="10" borderId="114" xfId="4" applyNumberFormat="1" applyFont="1" applyFill="1" applyBorder="1" applyAlignment="1">
      <alignment horizontal="right" vertical="center" wrapText="1"/>
    </xf>
    <xf numFmtId="0" fontId="41" fillId="0" borderId="0" xfId="0" applyFont="1" applyAlignment="1">
      <alignment vertical="center"/>
    </xf>
    <xf numFmtId="3" fontId="40" fillId="10" borderId="114" xfId="4" applyNumberFormat="1" applyFont="1" applyFill="1" applyBorder="1" applyAlignment="1">
      <alignment horizontal="right" vertical="center" wrapText="1"/>
    </xf>
    <xf numFmtId="0" fontId="5" fillId="3" borderId="24" xfId="0" applyFont="1" applyFill="1" applyBorder="1" applyAlignment="1">
      <alignment horizontal="left" vertical="top" wrapText="1"/>
    </xf>
    <xf numFmtId="0" fontId="5" fillId="3" borderId="6" xfId="0" applyFont="1" applyFill="1" applyBorder="1" applyAlignment="1">
      <alignment horizontal="center" vertical="top" wrapText="1"/>
    </xf>
    <xf numFmtId="0" fontId="5" fillId="3" borderId="67" xfId="0" applyFont="1" applyFill="1" applyBorder="1" applyAlignment="1">
      <alignment horizontal="justify" vertical="top" wrapText="1"/>
    </xf>
    <xf numFmtId="2" fontId="3" fillId="15" borderId="78" xfId="1" applyNumberFormat="1" applyFont="1" applyFill="1" applyBorder="1" applyAlignment="1">
      <alignment vertical="top" wrapText="1"/>
    </xf>
    <xf numFmtId="1" fontId="42" fillId="4" borderId="5" xfId="1" applyNumberFormat="1" applyFont="1" applyBorder="1" applyAlignment="1">
      <alignment horizontal="right" vertical="top" wrapText="1"/>
    </xf>
    <xf numFmtId="0" fontId="0" fillId="0" borderId="0" xfId="0" applyBorder="1" applyAlignment="1">
      <alignment horizontal="left" vertical="top" wrapText="1"/>
    </xf>
    <xf numFmtId="0" fontId="31" fillId="0" borderId="0" xfId="0" applyFont="1" applyBorder="1"/>
    <xf numFmtId="0" fontId="9" fillId="0" borderId="0" xfId="0" applyFont="1" applyFill="1" applyBorder="1" applyAlignment="1">
      <alignment horizontal="center" vertical="top" wrapText="1"/>
    </xf>
    <xf numFmtId="3" fontId="7" fillId="0" borderId="0" xfId="2" applyNumberFormat="1" applyFill="1" applyBorder="1"/>
    <xf numFmtId="0" fontId="8" fillId="0" borderId="59" xfId="0" applyFont="1" applyBorder="1" applyAlignment="1"/>
    <xf numFmtId="0" fontId="8" fillId="0" borderId="116" xfId="0" applyFont="1" applyBorder="1" applyAlignment="1"/>
    <xf numFmtId="0" fontId="0" fillId="0" borderId="117" xfId="0" applyFont="1" applyBorder="1" applyAlignment="1">
      <alignment horizontal="left"/>
    </xf>
    <xf numFmtId="0" fontId="0" fillId="0" borderId="33" xfId="0" applyFont="1" applyBorder="1" applyAlignment="1">
      <alignment horizontal="left"/>
    </xf>
    <xf numFmtId="0" fontId="9" fillId="8" borderId="30" xfId="0" applyFont="1" applyFill="1" applyBorder="1" applyAlignment="1">
      <alignment horizontal="center" vertical="top" wrapText="1"/>
    </xf>
    <xf numFmtId="0" fontId="0" fillId="0" borderId="6" xfId="0" applyFont="1" applyBorder="1" applyAlignment="1"/>
    <xf numFmtId="0" fontId="0" fillId="0" borderId="6" xfId="0" applyFont="1" applyBorder="1" applyAlignment="1">
      <alignment horizontal="right"/>
    </xf>
    <xf numFmtId="0" fontId="31" fillId="0" borderId="6" xfId="0" applyFont="1" applyBorder="1"/>
    <xf numFmtId="0" fontId="33" fillId="0" borderId="24" xfId="0" applyFont="1" applyBorder="1" applyAlignment="1"/>
    <xf numFmtId="0" fontId="0" fillId="0" borderId="0" xfId="0" applyFill="1" applyAlignment="1">
      <alignment horizontal="left" vertical="top" wrapText="1"/>
    </xf>
    <xf numFmtId="0" fontId="9" fillId="0" borderId="0" xfId="0" applyFont="1" applyFill="1" applyAlignment="1">
      <alignment horizontal="left" vertical="top" wrapText="1"/>
    </xf>
    <xf numFmtId="0" fontId="0" fillId="16" borderId="0" xfId="0" applyFill="1" applyAlignment="1">
      <alignment horizontal="left" vertical="top" wrapText="1"/>
    </xf>
    <xf numFmtId="0" fontId="9" fillId="16" borderId="0" xfId="0" applyFont="1" applyFill="1" applyAlignment="1">
      <alignment horizontal="left" vertical="top" wrapText="1"/>
    </xf>
    <xf numFmtId="0" fontId="9" fillId="16" borderId="0" xfId="0" applyFont="1" applyFill="1" applyBorder="1" applyAlignment="1">
      <alignment horizontal="left" vertical="top" wrapText="1"/>
    </xf>
    <xf numFmtId="0" fontId="9" fillId="16" borderId="19" xfId="0" applyFont="1" applyFill="1" applyBorder="1" applyAlignment="1">
      <alignment horizontal="center" vertical="top" wrapText="1"/>
    </xf>
    <xf numFmtId="0" fontId="9" fillId="16" borderId="0" xfId="0" applyFont="1" applyFill="1" applyBorder="1" applyAlignment="1">
      <alignment horizontal="center" vertical="top" wrapText="1"/>
    </xf>
    <xf numFmtId="0" fontId="9" fillId="16" borderId="27" xfId="0" applyFont="1" applyFill="1" applyBorder="1" applyAlignment="1">
      <alignment horizontal="center" vertical="top" wrapText="1"/>
    </xf>
    <xf numFmtId="0" fontId="9" fillId="16" borderId="5" xfId="0" applyFont="1" applyFill="1" applyBorder="1" applyAlignment="1">
      <alignment horizontal="center" vertical="top" wrapText="1"/>
    </xf>
    <xf numFmtId="9" fontId="0" fillId="0" borderId="19" xfId="4" applyFont="1" applyBorder="1" applyAlignment="1">
      <alignment wrapText="1"/>
    </xf>
    <xf numFmtId="4" fontId="0" fillId="0" borderId="20" xfId="0" applyNumberFormat="1" applyBorder="1" applyAlignment="1">
      <alignment wrapText="1"/>
    </xf>
    <xf numFmtId="9" fontId="0" fillId="0" borderId="0" xfId="4" applyFont="1"/>
    <xf numFmtId="4" fontId="0" fillId="0" borderId="20" xfId="0" applyNumberFormat="1" applyBorder="1"/>
    <xf numFmtId="9" fontId="0" fillId="0" borderId="0" xfId="4" applyFont="1" applyBorder="1" applyAlignment="1">
      <alignment wrapText="1"/>
    </xf>
    <xf numFmtId="0" fontId="0" fillId="0" borderId="0" xfId="0" applyBorder="1" applyAlignment="1">
      <alignment wrapText="1"/>
    </xf>
    <xf numFmtId="2" fontId="0" fillId="0" borderId="20" xfId="0" applyNumberFormat="1" applyBorder="1" applyAlignment="1">
      <alignment wrapText="1"/>
    </xf>
    <xf numFmtId="2" fontId="0" fillId="0" borderId="120" xfId="0" applyNumberFormat="1" applyBorder="1" applyAlignment="1">
      <alignment wrapText="1"/>
    </xf>
    <xf numFmtId="2" fontId="0" fillId="0" borderId="20" xfId="0" applyNumberFormat="1" applyBorder="1"/>
    <xf numFmtId="2" fontId="0" fillId="0" borderId="120" xfId="0" applyNumberFormat="1" applyBorder="1"/>
    <xf numFmtId="9" fontId="8" fillId="11" borderId="19" xfId="4" applyFont="1" applyFill="1" applyBorder="1" applyAlignment="1">
      <alignment wrapText="1"/>
    </xf>
    <xf numFmtId="9" fontId="8" fillId="11" borderId="119" xfId="4" applyFont="1" applyFill="1" applyBorder="1" applyAlignment="1">
      <alignment wrapText="1"/>
    </xf>
    <xf numFmtId="9" fontId="8" fillId="11" borderId="19" xfId="4" applyFont="1" applyFill="1" applyBorder="1"/>
    <xf numFmtId="9" fontId="8" fillId="11" borderId="119" xfId="4" applyFont="1" applyFill="1" applyBorder="1"/>
    <xf numFmtId="0" fontId="8" fillId="11" borderId="0" xfId="0" applyFont="1" applyFill="1" applyAlignment="1">
      <alignment wrapText="1"/>
    </xf>
    <xf numFmtId="4" fontId="8" fillId="11" borderId="0" xfId="0" applyNumberFormat="1" applyFont="1" applyFill="1" applyAlignment="1">
      <alignment wrapText="1"/>
    </xf>
    <xf numFmtId="0" fontId="8" fillId="0" borderId="0" xfId="0" applyFont="1" applyFill="1"/>
    <xf numFmtId="0" fontId="8" fillId="11" borderId="20" xfId="0" applyFont="1" applyFill="1" applyBorder="1" applyAlignment="1">
      <alignment horizontal="right" wrapText="1"/>
    </xf>
    <xf numFmtId="0" fontId="8" fillId="11" borderId="19" xfId="0" applyFont="1" applyFill="1" applyBorder="1" applyAlignment="1">
      <alignment horizontal="right" wrapText="1"/>
    </xf>
    <xf numFmtId="0" fontId="8" fillId="11" borderId="118" xfId="0" applyFont="1" applyFill="1" applyBorder="1" applyAlignment="1">
      <alignment horizontal="right"/>
    </xf>
    <xf numFmtId="0" fontId="8" fillId="11" borderId="113" xfId="0" applyFont="1" applyFill="1" applyBorder="1" applyAlignment="1">
      <alignment horizontal="right"/>
    </xf>
    <xf numFmtId="4" fontId="0" fillId="0" borderId="0" xfId="0" applyNumberFormat="1" applyBorder="1" applyAlignment="1">
      <alignment wrapText="1"/>
    </xf>
    <xf numFmtId="2" fontId="0" fillId="0" borderId="0" xfId="0" applyNumberFormat="1" applyBorder="1" applyAlignment="1">
      <alignment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right" wrapText="1"/>
    </xf>
    <xf numFmtId="4" fontId="8" fillId="0" borderId="0" xfId="0" applyNumberFormat="1" applyFont="1" applyBorder="1" applyAlignment="1">
      <alignment wrapText="1"/>
    </xf>
    <xf numFmtId="9" fontId="8" fillId="17" borderId="20" xfId="4" applyFont="1" applyFill="1" applyBorder="1" applyAlignment="1">
      <alignment wrapText="1"/>
    </xf>
    <xf numFmtId="2" fontId="0" fillId="0" borderId="0" xfId="0" applyNumberFormat="1" applyBorder="1"/>
    <xf numFmtId="9" fontId="8" fillId="17" borderId="21" xfId="4" applyFont="1" applyFill="1" applyBorder="1" applyAlignment="1">
      <alignment wrapText="1"/>
    </xf>
    <xf numFmtId="2" fontId="0" fillId="0" borderId="21" xfId="0" applyNumberFormat="1" applyBorder="1" applyAlignment="1">
      <alignment wrapText="1"/>
    </xf>
    <xf numFmtId="2" fontId="0" fillId="0" borderId="21" xfId="0" applyNumberFormat="1" applyBorder="1"/>
    <xf numFmtId="9" fontId="8" fillId="17" borderId="119" xfId="4" applyFont="1" applyFill="1" applyBorder="1" applyAlignment="1">
      <alignment wrapText="1"/>
    </xf>
    <xf numFmtId="9" fontId="8" fillId="17" borderId="120" xfId="4" applyFont="1" applyFill="1" applyBorder="1" applyAlignment="1">
      <alignment wrapText="1"/>
    </xf>
    <xf numFmtId="9" fontId="8" fillId="17" borderId="113" xfId="4" applyFont="1" applyFill="1" applyBorder="1" applyAlignment="1">
      <alignment wrapText="1"/>
    </xf>
    <xf numFmtId="0" fontId="0" fillId="15" borderId="22" xfId="0" applyFill="1" applyBorder="1"/>
    <xf numFmtId="0" fontId="0" fillId="15" borderId="112" xfId="0" applyFill="1" applyBorder="1"/>
    <xf numFmtId="166" fontId="0" fillId="0" borderId="23" xfId="5" applyNumberFormat="1" applyFont="1" applyBorder="1" applyAlignment="1">
      <alignment horizontal="center" vertical="center" wrapText="1"/>
    </xf>
    <xf numFmtId="166" fontId="13" fillId="6" borderId="53" xfId="5" applyNumberFormat="1" applyFont="1" applyFill="1" applyBorder="1" applyAlignment="1">
      <alignment horizontal="center" vertical="center" wrapText="1"/>
    </xf>
    <xf numFmtId="166" fontId="13" fillId="6" borderId="98" xfId="5" applyNumberFormat="1" applyFont="1" applyFill="1" applyBorder="1" applyAlignment="1">
      <alignment horizontal="center" vertical="center" wrapText="1"/>
    </xf>
    <xf numFmtId="166" fontId="0" fillId="0" borderId="0" xfId="5" applyNumberFormat="1" applyFont="1" applyBorder="1" applyAlignment="1">
      <alignment horizontal="center" vertical="center" wrapText="1"/>
    </xf>
    <xf numFmtId="166" fontId="13" fillId="6" borderId="17" xfId="5" applyNumberFormat="1" applyFont="1" applyFill="1" applyBorder="1" applyAlignment="1">
      <alignment horizontal="center" vertical="center" wrapText="1"/>
    </xf>
    <xf numFmtId="166" fontId="13" fillId="6" borderId="123" xfId="5" applyNumberFormat="1" applyFont="1" applyFill="1" applyBorder="1" applyAlignment="1">
      <alignment horizontal="center" vertical="center" wrapText="1"/>
    </xf>
    <xf numFmtId="166" fontId="0" fillId="0" borderId="26" xfId="5" applyNumberFormat="1" applyFont="1" applyBorder="1" applyAlignment="1">
      <alignment horizontal="center" vertical="center" wrapText="1"/>
    </xf>
    <xf numFmtId="166" fontId="13" fillId="6" borderId="55" xfId="5" applyNumberFormat="1" applyFont="1" applyFill="1" applyBorder="1" applyAlignment="1">
      <alignment horizontal="center" vertical="center" wrapText="1"/>
    </xf>
    <xf numFmtId="166" fontId="13" fillId="6" borderId="124" xfId="5" applyNumberFormat="1" applyFont="1" applyFill="1" applyBorder="1" applyAlignment="1">
      <alignment horizontal="center" vertical="center" wrapText="1"/>
    </xf>
    <xf numFmtId="167" fontId="0" fillId="0" borderId="0" xfId="0" applyNumberFormat="1" applyBorder="1" applyAlignment="1">
      <alignment horizontal="center" vertical="center" wrapText="1"/>
    </xf>
    <xf numFmtId="167" fontId="13" fillId="6" borderId="53" xfId="3" applyNumberFormat="1" applyFont="1" applyBorder="1" applyAlignment="1">
      <alignment horizontal="center" vertical="center" wrapText="1"/>
    </xf>
    <xf numFmtId="167" fontId="13" fillId="6" borderId="17" xfId="3" applyNumberFormat="1" applyFont="1" applyBorder="1" applyAlignment="1">
      <alignment horizontal="center" vertical="center" wrapText="1"/>
    </xf>
    <xf numFmtId="167" fontId="0" fillId="0" borderId="24" xfId="0" applyNumberFormat="1" applyBorder="1" applyAlignment="1">
      <alignment horizontal="center" vertical="center" wrapText="1"/>
    </xf>
    <xf numFmtId="167" fontId="0" fillId="0" borderId="6" xfId="0" applyNumberFormat="1" applyBorder="1" applyAlignment="1">
      <alignment horizontal="center" vertical="center" wrapText="1"/>
    </xf>
    <xf numFmtId="166" fontId="13" fillId="6" borderId="82" xfId="5" applyNumberFormat="1" applyFont="1" applyFill="1" applyBorder="1" applyAlignment="1">
      <alignment horizontal="center" vertical="center" wrapText="1"/>
    </xf>
    <xf numFmtId="166" fontId="13" fillId="6" borderId="41" xfId="5" applyNumberFormat="1" applyFont="1" applyFill="1" applyBorder="1" applyAlignment="1">
      <alignment horizontal="center" vertical="center" wrapText="1"/>
    </xf>
    <xf numFmtId="166" fontId="13" fillId="6" borderId="83" xfId="5" applyNumberFormat="1" applyFont="1" applyFill="1" applyBorder="1" applyAlignment="1">
      <alignment horizontal="center" vertical="center" wrapText="1"/>
    </xf>
    <xf numFmtId="166" fontId="0" fillId="0" borderId="14" xfId="5" applyNumberFormat="1" applyFont="1" applyBorder="1" applyAlignment="1">
      <alignment horizontal="center" vertical="center" wrapText="1"/>
    </xf>
    <xf numFmtId="166" fontId="0" fillId="0" borderId="13" xfId="5" applyNumberFormat="1" applyFont="1" applyBorder="1" applyAlignment="1">
      <alignment horizontal="center" vertical="center" wrapText="1"/>
    </xf>
    <xf numFmtId="166" fontId="0" fillId="0" borderId="24" xfId="5" applyNumberFormat="1" applyFont="1" applyBorder="1" applyAlignment="1">
      <alignment horizontal="center" vertical="center" wrapText="1"/>
    </xf>
    <xf numFmtId="166" fontId="0" fillId="0" borderId="6" xfId="5" applyNumberFormat="1" applyFont="1" applyBorder="1" applyAlignment="1">
      <alignment horizontal="center" vertical="center" wrapText="1"/>
    </xf>
    <xf numFmtId="166" fontId="0" fillId="0" borderId="15" xfId="5" applyNumberFormat="1" applyFont="1" applyBorder="1" applyAlignment="1">
      <alignment horizontal="center" vertical="center" wrapText="1"/>
    </xf>
    <xf numFmtId="166" fontId="0" fillId="0" borderId="5" xfId="5" applyNumberFormat="1" applyFont="1" applyBorder="1" applyAlignment="1">
      <alignment horizontal="center" vertical="center" wrapText="1"/>
    </xf>
    <xf numFmtId="0" fontId="8" fillId="14" borderId="28" xfId="0" applyFont="1" applyFill="1" applyBorder="1" applyAlignment="1">
      <alignment horizontal="left" vertical="top" wrapText="1"/>
    </xf>
    <xf numFmtId="0" fontId="0" fillId="14" borderId="29" xfId="0" applyFill="1" applyBorder="1" applyAlignment="1">
      <alignment horizontal="left" vertical="top" wrapText="1"/>
    </xf>
    <xf numFmtId="0" fontId="0" fillId="14" borderId="30" xfId="0" applyFill="1" applyBorder="1" applyAlignment="1">
      <alignment horizontal="left" vertical="top" wrapText="1"/>
    </xf>
    <xf numFmtId="0" fontId="43" fillId="14" borderId="29" xfId="0" applyFont="1" applyFill="1" applyBorder="1" applyAlignment="1">
      <alignment horizontal="left" vertical="top" wrapText="1"/>
    </xf>
    <xf numFmtId="0" fontId="13" fillId="14" borderId="130" xfId="3" applyFont="1" applyFill="1" applyBorder="1" applyAlignment="1">
      <alignment horizontal="right" vertical="top" wrapText="1"/>
    </xf>
    <xf numFmtId="0" fontId="13" fillId="14" borderId="131" xfId="3" applyFont="1" applyFill="1" applyBorder="1" applyAlignment="1">
      <alignment horizontal="right" vertical="top" wrapText="1"/>
    </xf>
    <xf numFmtId="0" fontId="0" fillId="16" borderId="0" xfId="0" applyFill="1" applyBorder="1" applyAlignment="1">
      <alignment horizontal="center" vertical="top" wrapText="1"/>
    </xf>
    <xf numFmtId="0" fontId="0" fillId="16" borderId="6" xfId="0" applyFill="1" applyBorder="1" applyAlignment="1">
      <alignment horizontal="center" vertical="top" wrapText="1"/>
    </xf>
    <xf numFmtId="3" fontId="13" fillId="6" borderId="98" xfId="3" applyNumberFormat="1" applyFont="1" applyBorder="1" applyAlignment="1">
      <alignment horizontal="right" vertical="top" wrapText="1"/>
    </xf>
    <xf numFmtId="3" fontId="13" fillId="6" borderId="132" xfId="3" applyNumberFormat="1" applyFont="1" applyBorder="1" applyAlignment="1">
      <alignment horizontal="right" vertical="top" wrapText="1"/>
    </xf>
    <xf numFmtId="3" fontId="13" fillId="6" borderId="133" xfId="3" applyNumberFormat="1" applyFont="1" applyBorder="1" applyAlignment="1">
      <alignment horizontal="right" vertical="top" wrapText="1"/>
    </xf>
    <xf numFmtId="3" fontId="13" fillId="6" borderId="98" xfId="3" applyNumberFormat="1" applyFont="1" applyBorder="1" applyAlignment="1">
      <alignment vertical="top" wrapText="1"/>
    </xf>
    <xf numFmtId="3" fontId="13" fillId="6" borderId="132" xfId="3" applyNumberFormat="1" applyFont="1" applyBorder="1" applyAlignment="1">
      <alignment vertical="top" wrapText="1"/>
    </xf>
    <xf numFmtId="3" fontId="13" fillId="6" borderId="133" xfId="3" applyNumberFormat="1" applyFont="1" applyBorder="1" applyAlignment="1">
      <alignment vertical="top" wrapText="1"/>
    </xf>
    <xf numFmtId="0" fontId="8" fillId="17" borderId="121" xfId="0" applyFont="1" applyFill="1" applyBorder="1"/>
    <xf numFmtId="0" fontId="8" fillId="17" borderId="34" xfId="0" applyFont="1" applyFill="1" applyBorder="1"/>
    <xf numFmtId="0" fontId="8" fillId="17" borderId="111" xfId="0" applyFont="1" applyFill="1" applyBorder="1"/>
    <xf numFmtId="0" fontId="8" fillId="0" borderId="121" xfId="0" applyFont="1" applyBorder="1"/>
    <xf numFmtId="0" fontId="8" fillId="19" borderId="121" xfId="0" applyFont="1" applyFill="1" applyBorder="1"/>
    <xf numFmtId="0" fontId="8" fillId="19" borderId="34" xfId="0" applyFont="1" applyFill="1" applyBorder="1"/>
    <xf numFmtId="0" fontId="0" fillId="19" borderId="111" xfId="0" applyFont="1" applyFill="1" applyBorder="1"/>
    <xf numFmtId="164" fontId="8" fillId="17" borderId="22" xfId="5" applyNumberFormat="1" applyFont="1" applyFill="1" applyBorder="1"/>
    <xf numFmtId="164" fontId="8" fillId="17" borderId="121" xfId="5" applyNumberFormat="1" applyFont="1" applyFill="1" applyBorder="1"/>
    <xf numFmtId="0" fontId="8" fillId="0" borderId="87" xfId="0" applyFont="1" applyBorder="1"/>
    <xf numFmtId="164" fontId="8" fillId="17" borderId="134" xfId="5" applyNumberFormat="1" applyFont="1" applyFill="1" applyBorder="1"/>
    <xf numFmtId="164" fontId="32" fillId="19" borderId="22" xfId="5" applyNumberFormat="1" applyFont="1" applyFill="1" applyBorder="1"/>
    <xf numFmtId="164" fontId="32" fillId="19" borderId="121" xfId="5" applyNumberFormat="1" applyFont="1" applyFill="1" applyBorder="1"/>
    <xf numFmtId="164" fontId="32" fillId="19" borderId="134" xfId="5" applyNumberFormat="1" applyFont="1" applyFill="1" applyBorder="1"/>
    <xf numFmtId="164" fontId="32" fillId="19" borderId="135" xfId="5" applyNumberFormat="1" applyFont="1" applyFill="1" applyBorder="1"/>
    <xf numFmtId="0" fontId="8" fillId="20" borderId="34" xfId="0" applyFont="1" applyFill="1" applyBorder="1"/>
    <xf numFmtId="0" fontId="8" fillId="20" borderId="111" xfId="0" applyFont="1" applyFill="1" applyBorder="1"/>
    <xf numFmtId="164" fontId="0" fillId="20" borderId="22" xfId="5" applyNumberFormat="1" applyFont="1" applyFill="1" applyBorder="1"/>
    <xf numFmtId="164" fontId="0" fillId="20" borderId="121" xfId="5" applyNumberFormat="1" applyFont="1" applyFill="1" applyBorder="1"/>
    <xf numFmtId="164" fontId="0" fillId="20" borderId="134" xfId="5" applyNumberFormat="1" applyFont="1" applyFill="1" applyBorder="1"/>
    <xf numFmtId="0" fontId="25" fillId="0" borderId="0" xfId="0" applyFont="1" applyAlignment="1">
      <alignment vertical="center"/>
    </xf>
    <xf numFmtId="164" fontId="32" fillId="19" borderId="22" xfId="5" applyNumberFormat="1" applyFont="1" applyFill="1" applyBorder="1" applyAlignment="1">
      <alignment horizontal="center"/>
    </xf>
    <xf numFmtId="164" fontId="32" fillId="19" borderId="121" xfId="5" applyNumberFormat="1" applyFont="1" applyFill="1" applyBorder="1" applyAlignment="1">
      <alignment horizontal="center"/>
    </xf>
    <xf numFmtId="164" fontId="32" fillId="19" borderId="134" xfId="5" applyNumberFormat="1" applyFont="1" applyFill="1" applyBorder="1" applyAlignment="1">
      <alignment horizontal="center"/>
    </xf>
    <xf numFmtId="0" fontId="44" fillId="0" borderId="0" xfId="0" applyFont="1" applyFill="1"/>
    <xf numFmtId="0" fontId="0" fillId="0" borderId="0" xfId="0" applyAlignment="1">
      <alignment horizontal="center"/>
    </xf>
    <xf numFmtId="0" fontId="0" fillId="0" borderId="0" xfId="0" applyAlignment="1"/>
    <xf numFmtId="0" fontId="0" fillId="16" borderId="24" xfId="0" applyFill="1" applyBorder="1" applyAlignment="1">
      <alignment horizontal="center" vertical="top" wrapText="1"/>
    </xf>
    <xf numFmtId="0" fontId="8" fillId="19" borderId="118" xfId="0" applyFont="1" applyFill="1" applyBorder="1"/>
    <xf numFmtId="0" fontId="8" fillId="19" borderId="18" xfId="0" applyFont="1" applyFill="1" applyBorder="1"/>
    <xf numFmtId="0" fontId="0" fillId="19" borderId="113" xfId="0" applyFont="1" applyFill="1" applyBorder="1"/>
    <xf numFmtId="0" fontId="8" fillId="0" borderId="121" xfId="0" applyFont="1" applyFill="1" applyBorder="1"/>
    <xf numFmtId="0" fontId="0" fillId="0" borderId="121" xfId="0" applyBorder="1"/>
    <xf numFmtId="0" fontId="0" fillId="0" borderId="34" xfId="0" applyBorder="1"/>
    <xf numFmtId="0" fontId="0" fillId="15" borderId="111" xfId="0" applyFont="1" applyFill="1" applyBorder="1"/>
    <xf numFmtId="0" fontId="0" fillId="15" borderId="111" xfId="0" applyFill="1" applyBorder="1"/>
    <xf numFmtId="166" fontId="45" fillId="18" borderId="53" xfId="5" applyNumberFormat="1" applyFont="1" applyFill="1" applyBorder="1" applyAlignment="1">
      <alignment horizontal="center" vertical="center" wrapText="1"/>
    </xf>
    <xf numFmtId="166" fontId="45" fillId="18" borderId="17" xfId="5" applyNumberFormat="1" applyFont="1" applyFill="1" applyBorder="1" applyAlignment="1">
      <alignment horizontal="center" vertical="center" wrapText="1"/>
    </xf>
    <xf numFmtId="166" fontId="45" fillId="18" borderId="55" xfId="5" applyNumberFormat="1" applyFont="1" applyFill="1" applyBorder="1" applyAlignment="1">
      <alignment horizontal="center" vertical="center" wrapText="1"/>
    </xf>
    <xf numFmtId="167" fontId="45" fillId="18" borderId="53" xfId="3" applyNumberFormat="1" applyFont="1" applyFill="1" applyBorder="1" applyAlignment="1">
      <alignment horizontal="center" vertical="center" wrapText="1"/>
    </xf>
    <xf numFmtId="167" fontId="45" fillId="18" borderId="17" xfId="3" applyNumberFormat="1" applyFont="1" applyFill="1" applyBorder="1" applyAlignment="1">
      <alignment horizontal="center" vertical="center" wrapText="1"/>
    </xf>
    <xf numFmtId="167" fontId="45" fillId="18" borderId="55" xfId="3" applyNumberFormat="1" applyFont="1" applyFill="1" applyBorder="1" applyAlignment="1">
      <alignment horizontal="center" vertical="center" wrapText="1"/>
    </xf>
    <xf numFmtId="0" fontId="45" fillId="14" borderId="130" xfId="3" applyFont="1" applyFill="1" applyBorder="1" applyAlignment="1">
      <alignment horizontal="right" vertical="top" wrapText="1"/>
    </xf>
    <xf numFmtId="166" fontId="45" fillId="18" borderId="127" xfId="5" applyNumberFormat="1" applyFont="1" applyFill="1" applyBorder="1" applyAlignment="1">
      <alignment horizontal="center" vertical="center" wrapText="1"/>
    </xf>
    <xf numFmtId="167" fontId="45" fillId="18" borderId="53" xfId="5" applyNumberFormat="1" applyFont="1" applyFill="1" applyBorder="1" applyAlignment="1">
      <alignment horizontal="center" vertical="center" wrapText="1"/>
    </xf>
    <xf numFmtId="167" fontId="45" fillId="18" borderId="17" xfId="5" applyNumberFormat="1" applyFont="1" applyFill="1" applyBorder="1" applyAlignment="1">
      <alignment horizontal="center" vertical="center" wrapText="1"/>
    </xf>
    <xf numFmtId="167" fontId="45" fillId="18" borderId="55" xfId="5" applyNumberFormat="1" applyFont="1" applyFill="1" applyBorder="1" applyAlignment="1">
      <alignment horizontal="center" vertical="center" wrapText="1"/>
    </xf>
    <xf numFmtId="166" fontId="45" fillId="18" borderId="54" xfId="5" applyNumberFormat="1" applyFont="1" applyFill="1" applyBorder="1" applyAlignment="1">
      <alignment horizontal="center" vertical="center" wrapText="1"/>
    </xf>
    <xf numFmtId="166" fontId="45" fillId="18" borderId="96" xfId="5" applyNumberFormat="1" applyFont="1" applyFill="1" applyBorder="1" applyAlignment="1">
      <alignment horizontal="center" vertical="center" wrapText="1"/>
    </xf>
    <xf numFmtId="166" fontId="45" fillId="18" borderId="97" xfId="5" applyNumberFormat="1" applyFont="1" applyFill="1" applyBorder="1" applyAlignment="1">
      <alignment horizontal="center" vertical="center" wrapText="1"/>
    </xf>
    <xf numFmtId="167" fontId="45" fillId="18" borderId="95" xfId="3" applyNumberFormat="1" applyFont="1" applyFill="1" applyBorder="1" applyAlignment="1">
      <alignment horizontal="center" vertical="center" wrapText="1"/>
    </xf>
    <xf numFmtId="167" fontId="45" fillId="18" borderId="96" xfId="3" applyNumberFormat="1" applyFont="1" applyFill="1" applyBorder="1" applyAlignment="1">
      <alignment horizontal="center" vertical="center" wrapText="1"/>
    </xf>
    <xf numFmtId="167" fontId="45" fillId="18" borderId="97" xfId="3" applyNumberFormat="1" applyFont="1" applyFill="1" applyBorder="1" applyAlignment="1">
      <alignment horizontal="center" vertical="center" wrapText="1"/>
    </xf>
    <xf numFmtId="0" fontId="45" fillId="14" borderId="30" xfId="3" applyFont="1" applyFill="1" applyBorder="1" applyAlignment="1">
      <alignment horizontal="right" vertical="top" wrapText="1"/>
    </xf>
    <xf numFmtId="166" fontId="45" fillId="18" borderId="129" xfId="5" applyNumberFormat="1" applyFont="1" applyFill="1" applyBorder="1" applyAlignment="1">
      <alignment horizontal="center" vertical="center" wrapText="1"/>
    </xf>
    <xf numFmtId="166" fontId="45" fillId="18" borderId="95" xfId="5" applyNumberFormat="1" applyFont="1" applyFill="1" applyBorder="1" applyAlignment="1">
      <alignment horizontal="center" vertical="center" wrapText="1"/>
    </xf>
    <xf numFmtId="167" fontId="45" fillId="18" borderId="95" xfId="5" applyNumberFormat="1" applyFont="1" applyFill="1" applyBorder="1" applyAlignment="1">
      <alignment horizontal="center" vertical="center" wrapText="1"/>
    </xf>
    <xf numFmtId="167" fontId="45" fillId="18" borderId="96" xfId="5" applyNumberFormat="1" applyFont="1" applyFill="1" applyBorder="1" applyAlignment="1">
      <alignment horizontal="center" vertical="center" wrapText="1"/>
    </xf>
    <xf numFmtId="167" fontId="45" fillId="18" borderId="97" xfId="5" applyNumberFormat="1" applyFont="1" applyFill="1" applyBorder="1" applyAlignment="1">
      <alignment horizontal="center" vertical="center" wrapText="1"/>
    </xf>
    <xf numFmtId="0" fontId="0" fillId="8" borderId="6" xfId="0" applyFill="1" applyBorder="1" applyAlignment="1">
      <alignment horizontal="left" vertical="top" wrapText="1"/>
    </xf>
    <xf numFmtId="0" fontId="0" fillId="8" borderId="5" xfId="0" applyFill="1" applyBorder="1" applyAlignment="1">
      <alignment horizontal="left" vertical="top" wrapText="1"/>
    </xf>
    <xf numFmtId="167" fontId="46" fillId="18" borderId="24" xfId="5" applyNumberFormat="1" applyFont="1" applyFill="1" applyBorder="1" applyAlignment="1">
      <alignment horizontal="center" vertical="center" wrapText="1"/>
    </xf>
    <xf numFmtId="167" fontId="46" fillId="18" borderId="0" xfId="5" applyNumberFormat="1" applyFont="1" applyFill="1" applyBorder="1" applyAlignment="1">
      <alignment horizontal="center" vertical="center" wrapText="1"/>
    </xf>
    <xf numFmtId="167" fontId="46" fillId="18" borderId="6" xfId="5" applyNumberFormat="1" applyFont="1" applyFill="1" applyBorder="1" applyAlignment="1">
      <alignment horizontal="center" vertical="center" wrapText="1"/>
    </xf>
    <xf numFmtId="167" fontId="46" fillId="18" borderId="15" xfId="5" applyNumberFormat="1" applyFont="1" applyFill="1" applyBorder="1" applyAlignment="1">
      <alignment horizontal="center" vertical="center" wrapText="1"/>
    </xf>
    <xf numFmtId="167" fontId="46" fillId="18" borderId="26" xfId="5" applyNumberFormat="1" applyFont="1" applyFill="1" applyBorder="1" applyAlignment="1">
      <alignment horizontal="center" vertical="center" wrapText="1"/>
    </xf>
    <xf numFmtId="167" fontId="46" fillId="18" borderId="5" xfId="5" applyNumberFormat="1" applyFont="1" applyFill="1" applyBorder="1" applyAlignment="1">
      <alignment horizontal="center" vertical="center" wrapText="1"/>
    </xf>
    <xf numFmtId="166" fontId="45" fillId="21" borderId="126" xfId="5" applyNumberFormat="1" applyFont="1" applyFill="1" applyBorder="1" applyAlignment="1">
      <alignment horizontal="center" vertical="center" wrapText="1"/>
    </xf>
    <xf numFmtId="166" fontId="45" fillId="21" borderId="127" xfId="5" applyNumberFormat="1" applyFont="1" applyFill="1" applyBorder="1" applyAlignment="1">
      <alignment horizontal="center" vertical="center" wrapText="1"/>
    </xf>
    <xf numFmtId="166" fontId="45" fillId="21" borderId="41" xfId="5" applyNumberFormat="1" applyFont="1" applyFill="1" applyBorder="1" applyAlignment="1">
      <alignment horizontal="center" vertical="center" wrapText="1"/>
    </xf>
    <xf numFmtId="166" fontId="45" fillId="21" borderId="17" xfId="5" applyNumberFormat="1" applyFont="1" applyFill="1" applyBorder="1" applyAlignment="1">
      <alignment horizontal="center" vertical="center" wrapText="1"/>
    </xf>
    <xf numFmtId="166" fontId="45" fillId="21" borderId="83" xfId="5" applyNumberFormat="1" applyFont="1" applyFill="1" applyBorder="1" applyAlignment="1">
      <alignment horizontal="center" vertical="center" wrapText="1"/>
    </xf>
    <xf numFmtId="166" fontId="45" fillId="21" borderId="55" xfId="5" applyNumberFormat="1" applyFont="1" applyFill="1" applyBorder="1" applyAlignment="1">
      <alignment horizontal="center" vertical="center" wrapText="1"/>
    </xf>
    <xf numFmtId="166" fontId="45" fillId="21" borderId="82" xfId="5" applyNumberFormat="1" applyFont="1" applyFill="1" applyBorder="1" applyAlignment="1">
      <alignment horizontal="center" vertical="center" wrapText="1"/>
    </xf>
    <xf numFmtId="166" fontId="45" fillId="21" borderId="53" xfId="5" applyNumberFormat="1" applyFont="1" applyFill="1" applyBorder="1" applyAlignment="1">
      <alignment horizontal="center" vertical="center" wrapText="1"/>
    </xf>
    <xf numFmtId="167" fontId="45" fillId="21" borderId="82" xfId="5" applyNumberFormat="1" applyFont="1" applyFill="1" applyBorder="1" applyAlignment="1">
      <alignment horizontal="center" vertical="center" wrapText="1"/>
    </xf>
    <xf numFmtId="167" fontId="45" fillId="21" borderId="53" xfId="5" applyNumberFormat="1" applyFont="1" applyFill="1" applyBorder="1" applyAlignment="1">
      <alignment horizontal="center" vertical="center" wrapText="1"/>
    </xf>
    <xf numFmtId="167" fontId="45" fillId="21" borderId="41" xfId="5" applyNumberFormat="1" applyFont="1" applyFill="1" applyBorder="1" applyAlignment="1">
      <alignment horizontal="center" vertical="center" wrapText="1"/>
    </xf>
    <xf numFmtId="167" fontId="45" fillId="21" borderId="17" xfId="5" applyNumberFormat="1" applyFont="1" applyFill="1" applyBorder="1" applyAlignment="1">
      <alignment horizontal="center" vertical="center" wrapText="1"/>
    </xf>
    <xf numFmtId="167" fontId="45" fillId="21" borderId="83" xfId="5" applyNumberFormat="1" applyFont="1" applyFill="1" applyBorder="1" applyAlignment="1">
      <alignment horizontal="center" vertical="center" wrapText="1"/>
    </xf>
    <xf numFmtId="167" fontId="45" fillId="21" borderId="55" xfId="5" applyNumberFormat="1" applyFont="1" applyFill="1" applyBorder="1" applyAlignment="1">
      <alignment horizontal="center" vertical="center" wrapText="1"/>
    </xf>
    <xf numFmtId="166" fontId="45" fillId="21" borderId="128" xfId="5" applyNumberFormat="1" applyFont="1" applyFill="1" applyBorder="1" applyAlignment="1">
      <alignment horizontal="center" vertical="center" wrapText="1"/>
    </xf>
    <xf numFmtId="166" fontId="45" fillId="21" borderId="123" xfId="5" applyNumberFormat="1" applyFont="1" applyFill="1" applyBorder="1" applyAlignment="1">
      <alignment horizontal="center" vertical="center" wrapText="1"/>
    </xf>
    <xf numFmtId="166" fontId="45" fillId="21" borderId="124" xfId="5" applyNumberFormat="1" applyFont="1" applyFill="1" applyBorder="1" applyAlignment="1">
      <alignment horizontal="center" vertical="center" wrapText="1"/>
    </xf>
    <xf numFmtId="166" fontId="45" fillId="21" borderId="125" xfId="5" applyNumberFormat="1" applyFont="1" applyFill="1" applyBorder="1" applyAlignment="1">
      <alignment horizontal="center" vertical="center" wrapText="1"/>
    </xf>
    <xf numFmtId="167" fontId="45" fillId="21" borderId="125" xfId="5" applyNumberFormat="1" applyFont="1" applyFill="1" applyBorder="1" applyAlignment="1">
      <alignment horizontal="center" vertical="center" wrapText="1"/>
    </xf>
    <xf numFmtId="167" fontId="45" fillId="21" borderId="123" xfId="5" applyNumberFormat="1" applyFont="1" applyFill="1" applyBorder="1" applyAlignment="1">
      <alignment horizontal="center" vertical="center" wrapText="1"/>
    </xf>
    <xf numFmtId="167" fontId="45" fillId="21" borderId="124" xfId="5" applyNumberFormat="1" applyFont="1" applyFill="1" applyBorder="1" applyAlignment="1">
      <alignment horizontal="center" vertical="center" wrapText="1"/>
    </xf>
    <xf numFmtId="0" fontId="0" fillId="15" borderId="135" xfId="0" applyFill="1" applyBorder="1"/>
    <xf numFmtId="0" fontId="0" fillId="15" borderId="121" xfId="0" applyFill="1" applyBorder="1"/>
    <xf numFmtId="0" fontId="0" fillId="15" borderId="22" xfId="0" applyFill="1" applyBorder="1" applyAlignment="1">
      <alignment horizontal="center" vertical="top" wrapText="1"/>
    </xf>
    <xf numFmtId="0" fontId="47" fillId="0" borderId="0" xfId="0" applyFont="1"/>
    <xf numFmtId="0" fontId="8" fillId="10" borderId="138" xfId="0" applyFont="1" applyFill="1" applyBorder="1"/>
    <xf numFmtId="0" fontId="8" fillId="10" borderId="136" xfId="0" applyFont="1" applyFill="1" applyBorder="1"/>
    <xf numFmtId="0" fontId="8" fillId="10" borderId="137" xfId="0" applyFont="1" applyFill="1" applyBorder="1"/>
    <xf numFmtId="164" fontId="32" fillId="19" borderId="84" xfId="5" applyNumberFormat="1" applyFont="1" applyFill="1" applyBorder="1"/>
    <xf numFmtId="164" fontId="32" fillId="19" borderId="118" xfId="5" applyNumberFormat="1" applyFont="1" applyFill="1" applyBorder="1"/>
    <xf numFmtId="164" fontId="32" fillId="19" borderId="139" xfId="5" applyNumberFormat="1" applyFont="1" applyFill="1" applyBorder="1"/>
    <xf numFmtId="164" fontId="32" fillId="22" borderId="22" xfId="5" applyNumberFormat="1" applyFont="1" applyFill="1" applyBorder="1"/>
    <xf numFmtId="164" fontId="32" fillId="22" borderId="121" xfId="5" applyNumberFormat="1" applyFont="1" applyFill="1" applyBorder="1"/>
    <xf numFmtId="164" fontId="32" fillId="22" borderId="134" xfId="5" applyNumberFormat="1" applyFont="1" applyFill="1" applyBorder="1"/>
    <xf numFmtId="0" fontId="0" fillId="15" borderId="134" xfId="0" applyFill="1" applyBorder="1"/>
    <xf numFmtId="0" fontId="0" fillId="23" borderId="112" xfId="0" applyFill="1" applyBorder="1"/>
    <xf numFmtId="0" fontId="0" fillId="23" borderId="22" xfId="0" applyFill="1" applyBorder="1"/>
    <xf numFmtId="0" fontId="32" fillId="15" borderId="22" xfId="0" applyFont="1" applyFill="1" applyBorder="1"/>
    <xf numFmtId="0" fontId="0" fillId="23" borderId="22" xfId="0" applyFill="1" applyBorder="1" applyAlignment="1">
      <alignment wrapText="1"/>
    </xf>
    <xf numFmtId="0" fontId="49" fillId="19" borderId="112" xfId="6" applyFont="1" applyFill="1" applyBorder="1" applyAlignment="1">
      <alignment vertical="center"/>
    </xf>
    <xf numFmtId="0" fontId="49" fillId="19" borderId="22" xfId="6" applyFont="1" applyFill="1" applyBorder="1" applyAlignment="1">
      <alignment vertical="center"/>
    </xf>
    <xf numFmtId="0" fontId="0" fillId="15" borderId="22" xfId="0" applyFill="1" applyBorder="1" applyAlignment="1">
      <alignment wrapText="1"/>
    </xf>
    <xf numFmtId="0" fontId="8" fillId="0" borderId="0" xfId="0" applyFont="1" applyAlignment="1">
      <alignment vertical="top" wrapText="1"/>
    </xf>
    <xf numFmtId="0" fontId="8" fillId="0" borderId="0" xfId="0" applyFont="1" applyAlignment="1">
      <alignment vertical="top"/>
    </xf>
    <xf numFmtId="0" fontId="0" fillId="0" borderId="0" xfId="0" applyAlignment="1">
      <alignment horizontal="center" vertical="center" wrapText="1"/>
    </xf>
    <xf numFmtId="0" fontId="0" fillId="0" borderId="0" xfId="0" applyAlignment="1">
      <alignment horizontal="center" vertical="center"/>
    </xf>
    <xf numFmtId="0" fontId="26" fillId="11" borderId="0" xfId="0" applyFont="1" applyFill="1" applyAlignment="1">
      <alignment horizontal="left"/>
    </xf>
    <xf numFmtId="168" fontId="9" fillId="7" borderId="22" xfId="0" applyNumberFormat="1" applyFont="1" applyFill="1" applyBorder="1" applyAlignment="1">
      <alignment horizontal="center" vertical="top" wrapText="1"/>
    </xf>
    <xf numFmtId="0" fontId="0" fillId="0" borderId="0" xfId="0" applyAlignment="1">
      <alignment horizontal="right"/>
    </xf>
    <xf numFmtId="0" fontId="50" fillId="6" borderId="17" xfId="3" applyFont="1" applyAlignment="1">
      <alignment vertical="center" wrapText="1"/>
    </xf>
    <xf numFmtId="164" fontId="50" fillId="6" borderId="17" xfId="3" applyNumberFormat="1" applyFont="1" applyAlignment="1">
      <alignment vertical="center" wrapText="1"/>
    </xf>
    <xf numFmtId="168" fontId="50" fillId="6" borderId="17" xfId="3" applyNumberFormat="1" applyFont="1" applyAlignment="1">
      <alignment vertical="center" wrapText="1"/>
    </xf>
    <xf numFmtId="168" fontId="0" fillId="0" borderId="0" xfId="0" applyNumberFormat="1"/>
    <xf numFmtId="168" fontId="0" fillId="0" borderId="0" xfId="7" applyNumberFormat="1" applyFont="1"/>
    <xf numFmtId="168" fontId="7" fillId="5" borderId="16" xfId="4" applyNumberFormat="1" applyFont="1" applyFill="1" applyBorder="1"/>
    <xf numFmtId="0" fontId="26" fillId="11" borderId="0" xfId="0" applyFont="1" applyFill="1" applyAlignment="1"/>
    <xf numFmtId="0" fontId="50" fillId="6" borderId="99" xfId="3" applyFont="1" applyBorder="1" applyAlignment="1">
      <alignment vertical="center" wrapText="1"/>
    </xf>
    <xf numFmtId="0" fontId="48" fillId="19" borderId="22" xfId="6" applyFill="1" applyBorder="1" applyAlignment="1">
      <alignment vertical="center"/>
    </xf>
    <xf numFmtId="0" fontId="0" fillId="7" borderId="22" xfId="0" applyFill="1" applyBorder="1" applyAlignment="1">
      <alignment horizontal="center" vertical="top" wrapText="1"/>
    </xf>
    <xf numFmtId="3" fontId="0" fillId="0" borderId="0" xfId="0" applyNumberFormat="1"/>
    <xf numFmtId="3" fontId="7" fillId="5" borderId="29" xfId="2" applyNumberFormat="1" applyBorder="1" applyAlignment="1">
      <alignment vertical="top" wrapText="1"/>
    </xf>
    <xf numFmtId="3" fontId="13" fillId="6" borderId="130" xfId="3" applyNumberFormat="1" applyFont="1" applyBorder="1" applyAlignment="1">
      <alignment vertical="top" wrapText="1"/>
    </xf>
    <xf numFmtId="3" fontId="7" fillId="5" borderId="26" xfId="2" applyNumberFormat="1" applyBorder="1" applyAlignment="1">
      <alignment vertical="top" wrapText="1"/>
    </xf>
    <xf numFmtId="0" fontId="4" fillId="0" borderId="67" xfId="0" applyFont="1" applyBorder="1" applyAlignment="1">
      <alignment vertical="top"/>
    </xf>
    <xf numFmtId="0" fontId="4" fillId="0" borderId="0" xfId="0" applyFont="1" applyAlignment="1">
      <alignment vertical="top" wrapText="1"/>
    </xf>
    <xf numFmtId="9" fontId="4" fillId="0" borderId="0" xfId="4" applyFont="1" applyAlignment="1">
      <alignment vertical="top"/>
    </xf>
    <xf numFmtId="0" fontId="9" fillId="16" borderId="24" xfId="0" applyFont="1" applyFill="1" applyBorder="1" applyAlignment="1">
      <alignment horizontal="left" vertical="top" wrapText="1"/>
    </xf>
    <xf numFmtId="0" fontId="9" fillId="16" borderId="6" xfId="0" applyFont="1" applyFill="1" applyBorder="1" applyAlignment="1">
      <alignment horizontal="left" vertical="top" wrapText="1"/>
    </xf>
    <xf numFmtId="167" fontId="46" fillId="18" borderId="14" xfId="5" applyNumberFormat="1" applyFont="1" applyFill="1" applyBorder="1" applyAlignment="1">
      <alignment horizontal="center" vertical="center" wrapText="1"/>
    </xf>
    <xf numFmtId="167" fontId="46" fillId="18" borderId="23" xfId="5" applyNumberFormat="1" applyFont="1" applyFill="1" applyBorder="1" applyAlignment="1">
      <alignment horizontal="center" vertical="center" wrapText="1"/>
    </xf>
    <xf numFmtId="167" fontId="46" fillId="18" borderId="13" xfId="5" applyNumberFormat="1" applyFont="1" applyFill="1" applyBorder="1" applyAlignment="1">
      <alignment horizontal="center" vertical="center" wrapText="1"/>
    </xf>
    <xf numFmtId="9" fontId="0" fillId="0" borderId="0" xfId="4" applyFont="1" applyAlignment="1">
      <alignment horizontal="left" vertical="top" wrapText="1"/>
    </xf>
    <xf numFmtId="9" fontId="32" fillId="0" borderId="0" xfId="4" applyFont="1" applyAlignment="1">
      <alignment horizontal="left" vertical="top" wrapText="1"/>
    </xf>
    <xf numFmtId="9" fontId="32" fillId="0" borderId="18" xfId="0" applyNumberFormat="1" applyFont="1" applyBorder="1" applyAlignment="1">
      <alignment horizontal="left" vertical="top" wrapText="1"/>
    </xf>
    <xf numFmtId="9" fontId="32" fillId="0" borderId="24" xfId="0" applyNumberFormat="1" applyFont="1" applyBorder="1" applyAlignment="1">
      <alignment horizontal="left" vertical="top" wrapText="1"/>
    </xf>
    <xf numFmtId="9" fontId="0" fillId="0" borderId="0" xfId="0" applyNumberFormat="1" applyAlignment="1">
      <alignment horizontal="left" vertical="top" wrapText="1"/>
    </xf>
    <xf numFmtId="0" fontId="52" fillId="25" borderId="140" xfId="0" applyFont="1" applyFill="1" applyBorder="1" applyAlignment="1">
      <alignment vertical="center" wrapText="1"/>
    </xf>
    <xf numFmtId="0" fontId="52" fillId="25" borderId="141" xfId="0" applyFont="1" applyFill="1" applyBorder="1" applyAlignment="1">
      <alignment vertical="center" wrapText="1"/>
    </xf>
    <xf numFmtId="0" fontId="53" fillId="26" borderId="140" xfId="0" applyFont="1" applyFill="1" applyBorder="1" applyAlignment="1">
      <alignment vertical="center" wrapText="1"/>
    </xf>
    <xf numFmtId="168" fontId="53" fillId="26" borderId="140" xfId="7" applyNumberFormat="1" applyFont="1" applyFill="1" applyBorder="1" applyAlignment="1">
      <alignment horizontal="right" vertical="center" wrapText="1"/>
    </xf>
    <xf numFmtId="0" fontId="13" fillId="6" borderId="53" xfId="3" applyFont="1" applyBorder="1" applyAlignment="1">
      <alignment horizontal="right" vertical="top" wrapText="1"/>
    </xf>
    <xf numFmtId="0" fontId="13" fillId="6" borderId="17" xfId="3" applyFont="1" applyBorder="1" applyAlignment="1">
      <alignment horizontal="right" vertical="top" wrapText="1"/>
    </xf>
    <xf numFmtId="0" fontId="8" fillId="0" borderId="22" xfId="0" applyNumberFormat="1" applyFont="1" applyBorder="1" applyAlignment="1">
      <alignment vertical="top" wrapText="1"/>
    </xf>
    <xf numFmtId="0" fontId="8" fillId="0" borderId="121" xfId="0" applyNumberFormat="1" applyFont="1" applyBorder="1" applyAlignment="1">
      <alignment vertical="top" wrapText="1"/>
    </xf>
    <xf numFmtId="0" fontId="8" fillId="0" borderId="22" xfId="0" applyNumberFormat="1" applyFont="1" applyBorder="1" applyAlignment="1">
      <alignment horizontal="left" vertical="top" wrapText="1"/>
    </xf>
    <xf numFmtId="0" fontId="8" fillId="0" borderId="121" xfId="0" applyNumberFormat="1" applyFont="1" applyBorder="1" applyAlignment="1">
      <alignment horizontal="left" vertical="top" wrapText="1"/>
    </xf>
    <xf numFmtId="0" fontId="54" fillId="0" borderId="0" xfId="10"/>
    <xf numFmtId="0" fontId="55" fillId="0" borderId="67" xfId="10" applyFont="1" applyBorder="1" applyAlignment="1">
      <alignment horizontal="center" wrapText="1"/>
    </xf>
    <xf numFmtId="0" fontId="55" fillId="0" borderId="9" xfId="10" applyFont="1" applyBorder="1" applyAlignment="1">
      <alignment horizontal="center" wrapText="1"/>
    </xf>
    <xf numFmtId="0" fontId="57" fillId="28" borderId="5" xfId="10" applyFont="1" applyFill="1" applyBorder="1" applyAlignment="1">
      <alignment horizontal="center"/>
    </xf>
    <xf numFmtId="0" fontId="57" fillId="0" borderId="9" xfId="10" applyFont="1" applyBorder="1" applyAlignment="1">
      <alignment horizontal="center" wrapText="1"/>
    </xf>
    <xf numFmtId="0" fontId="58" fillId="0" borderId="0" xfId="10" applyFont="1"/>
    <xf numFmtId="0" fontId="55" fillId="27" borderId="30" xfId="10" applyFont="1" applyFill="1" applyBorder="1" applyAlignment="1">
      <alignment horizontal="center" vertical="top" wrapText="1"/>
    </xf>
    <xf numFmtId="0" fontId="56" fillId="0" borderId="5" xfId="10" applyFont="1" applyBorder="1" applyAlignment="1">
      <alignment horizontal="center" wrapText="1"/>
    </xf>
    <xf numFmtId="0" fontId="57" fillId="28" borderId="5" xfId="10" applyFont="1" applyFill="1" applyBorder="1" applyAlignment="1">
      <alignment horizontal="left"/>
    </xf>
    <xf numFmtId="0" fontId="54" fillId="0" borderId="0" xfId="10" applyAlignment="1">
      <alignment horizontal="left"/>
    </xf>
    <xf numFmtId="2" fontId="0" fillId="0" borderId="0" xfId="0" applyNumberFormat="1"/>
    <xf numFmtId="0" fontId="56" fillId="28" borderId="6" xfId="10" applyFont="1" applyFill="1" applyBorder="1" applyAlignment="1">
      <alignment horizontal="right"/>
    </xf>
    <xf numFmtId="2" fontId="59" fillId="0" borderId="0" xfId="0" applyNumberFormat="1" applyFont="1"/>
    <xf numFmtId="2" fontId="8" fillId="0" borderId="0" xfId="0" applyNumberFormat="1" applyFont="1"/>
    <xf numFmtId="2" fontId="6" fillId="4" borderId="0" xfId="1" applyNumberFormat="1"/>
    <xf numFmtId="2" fontId="13" fillId="6" borderId="53" xfId="3" applyNumberFormat="1" applyFont="1" applyBorder="1" applyAlignment="1">
      <alignment horizontal="right" vertical="top" wrapText="1"/>
    </xf>
    <xf numFmtId="2" fontId="13" fillId="6" borderId="17" xfId="3" applyNumberFormat="1" applyFont="1" applyBorder="1" applyAlignment="1">
      <alignment horizontal="right" vertical="top" wrapText="1"/>
    </xf>
    <xf numFmtId="170" fontId="13" fillId="6" borderId="82" xfId="5" applyNumberFormat="1" applyFont="1" applyFill="1" applyBorder="1" applyAlignment="1">
      <alignment horizontal="center" vertical="center" wrapText="1"/>
    </xf>
    <xf numFmtId="170" fontId="13" fillId="6" borderId="41" xfId="5" applyNumberFormat="1" applyFont="1" applyFill="1" applyBorder="1" applyAlignment="1">
      <alignment horizontal="center" vertical="center" wrapText="1"/>
    </xf>
    <xf numFmtId="170" fontId="13" fillId="6" borderId="83" xfId="5" applyNumberFormat="1" applyFont="1" applyFill="1" applyBorder="1" applyAlignment="1">
      <alignment horizontal="center" vertical="center" wrapText="1"/>
    </xf>
    <xf numFmtId="170" fontId="0" fillId="0" borderId="14" xfId="5" applyNumberFormat="1" applyFont="1" applyBorder="1" applyAlignment="1">
      <alignment horizontal="center" vertical="center" wrapText="1"/>
    </xf>
    <xf numFmtId="170" fontId="0" fillId="0" borderId="23" xfId="5" applyNumberFormat="1" applyFont="1" applyBorder="1" applyAlignment="1">
      <alignment horizontal="center" vertical="center" wrapText="1"/>
    </xf>
    <xf numFmtId="170" fontId="0" fillId="0" borderId="13" xfId="5" applyNumberFormat="1" applyFont="1" applyBorder="1" applyAlignment="1">
      <alignment horizontal="center" vertical="center" wrapText="1"/>
    </xf>
    <xf numFmtId="170" fontId="0" fillId="0" borderId="24" xfId="5" applyNumberFormat="1" applyFont="1" applyBorder="1" applyAlignment="1">
      <alignment horizontal="center" vertical="center" wrapText="1"/>
    </xf>
    <xf numFmtId="170" fontId="0" fillId="0" borderId="0" xfId="5" applyNumberFormat="1" applyFont="1" applyBorder="1" applyAlignment="1">
      <alignment horizontal="center" vertical="center" wrapText="1"/>
    </xf>
    <xf numFmtId="170" fontId="0" fillId="0" borderId="6" xfId="5" applyNumberFormat="1" applyFont="1" applyBorder="1" applyAlignment="1">
      <alignment horizontal="center" vertical="center" wrapText="1"/>
    </xf>
    <xf numFmtId="170" fontId="0" fillId="0" borderId="15" xfId="5" applyNumberFormat="1" applyFont="1" applyBorder="1" applyAlignment="1">
      <alignment horizontal="center" vertical="center" wrapText="1"/>
    </xf>
    <xf numFmtId="170" fontId="0" fillId="0" borderId="26" xfId="5" applyNumberFormat="1" applyFont="1" applyBorder="1" applyAlignment="1">
      <alignment horizontal="center" vertical="center" wrapText="1"/>
    </xf>
    <xf numFmtId="170" fontId="0" fillId="0" borderId="5" xfId="5" applyNumberFormat="1" applyFont="1" applyBorder="1" applyAlignment="1">
      <alignment horizontal="center" vertical="center" wrapText="1"/>
    </xf>
    <xf numFmtId="44" fontId="44" fillId="0" borderId="0" xfId="0" applyNumberFormat="1" applyFont="1"/>
    <xf numFmtId="0" fontId="60" fillId="25" borderId="141" xfId="0" applyFont="1" applyFill="1" applyBorder="1" applyAlignment="1">
      <alignment horizontal="center" vertical="center" wrapText="1"/>
    </xf>
    <xf numFmtId="0" fontId="61" fillId="25" borderId="142" xfId="0" applyFont="1" applyFill="1" applyBorder="1" applyAlignment="1">
      <alignment vertical="center" wrapText="1"/>
    </xf>
    <xf numFmtId="0" fontId="62" fillId="0" borderId="0" xfId="0" applyFont="1"/>
    <xf numFmtId="44" fontId="63" fillId="0" borderId="0" xfId="11" applyFont="1"/>
    <xf numFmtId="44" fontId="62" fillId="0" borderId="0" xfId="11" applyFont="1"/>
    <xf numFmtId="0" fontId="63" fillId="0" borderId="0" xfId="0" applyFont="1"/>
    <xf numFmtId="0" fontId="64" fillId="0" borderId="30" xfId="0" applyFont="1" applyBorder="1" applyAlignment="1">
      <alignment horizontal="center" vertical="center" wrapText="1"/>
    </xf>
    <xf numFmtId="0" fontId="64" fillId="0" borderId="26" xfId="0" applyFont="1" applyBorder="1" applyAlignment="1">
      <alignment horizontal="center" vertical="center" wrapText="1"/>
    </xf>
    <xf numFmtId="164" fontId="8" fillId="0" borderId="22" xfId="5" applyNumberFormat="1" applyFont="1" applyBorder="1"/>
    <xf numFmtId="6" fontId="0" fillId="0" borderId="22" xfId="0" applyNumberFormat="1" applyBorder="1"/>
    <xf numFmtId="8" fontId="65" fillId="24" borderId="0" xfId="0" applyNumberFormat="1" applyFont="1" applyFill="1" applyAlignment="1">
      <alignment vertical="center" wrapText="1"/>
    </xf>
    <xf numFmtId="44" fontId="0" fillId="0" borderId="0" xfId="11" applyFont="1"/>
    <xf numFmtId="0" fontId="8" fillId="0" borderId="14" xfId="0" applyFont="1" applyBorder="1" applyAlignment="1">
      <alignment horizontal="left" vertical="top" wrapText="1"/>
    </xf>
    <xf numFmtId="2" fontId="4" fillId="0" borderId="0" xfId="5" applyNumberFormat="1" applyFont="1" applyAlignment="1">
      <alignment vertical="top"/>
    </xf>
    <xf numFmtId="170" fontId="0" fillId="0" borderId="24" xfId="0" applyNumberFormat="1" applyBorder="1" applyAlignment="1">
      <alignment horizontal="center" vertical="center" wrapText="1"/>
    </xf>
    <xf numFmtId="170" fontId="0" fillId="0" borderId="0" xfId="0" applyNumberFormat="1" applyBorder="1" applyAlignment="1">
      <alignment horizontal="center" vertical="center" wrapText="1"/>
    </xf>
    <xf numFmtId="170" fontId="0" fillId="0" borderId="6" xfId="0" applyNumberFormat="1" applyBorder="1" applyAlignment="1">
      <alignment horizontal="center" vertical="center" wrapText="1"/>
    </xf>
    <xf numFmtId="166" fontId="0" fillId="0" borderId="24" xfId="0" applyNumberFormat="1" applyBorder="1" applyAlignment="1">
      <alignment horizontal="center" vertical="center" wrapText="1"/>
    </xf>
    <xf numFmtId="166" fontId="0" fillId="0" borderId="0" xfId="0" applyNumberFormat="1" applyBorder="1" applyAlignment="1">
      <alignment horizontal="center" vertical="center" wrapText="1"/>
    </xf>
    <xf numFmtId="166" fontId="0" fillId="0" borderId="6" xfId="0" applyNumberFormat="1" applyBorder="1" applyAlignment="1">
      <alignment horizontal="center" vertical="center" wrapText="1"/>
    </xf>
    <xf numFmtId="2" fontId="4" fillId="0" borderId="0" xfId="0" applyNumberFormat="1" applyFont="1" applyAlignment="1">
      <alignment vertical="top"/>
    </xf>
    <xf numFmtId="2" fontId="57" fillId="28" borderId="5" xfId="10" applyNumberFormat="1" applyFont="1" applyFill="1" applyBorder="1" applyAlignment="1">
      <alignment horizontal="center"/>
    </xf>
    <xf numFmtId="0" fontId="9" fillId="0" borderId="0" xfId="10" applyFont="1"/>
    <xf numFmtId="0" fontId="67" fillId="0" borderId="0" xfId="10" applyFont="1" applyAlignment="1">
      <alignment horizontal="left"/>
    </xf>
    <xf numFmtId="0" fontId="9" fillId="0" borderId="0" xfId="10" applyFont="1" applyAlignment="1">
      <alignment horizontal="center" vertical="center"/>
    </xf>
    <xf numFmtId="0" fontId="10" fillId="0" borderId="0" xfId="10" applyFont="1"/>
    <xf numFmtId="0" fontId="0" fillId="0" borderId="0" xfId="0" applyFill="1" applyBorder="1" applyAlignment="1">
      <alignment wrapText="1"/>
    </xf>
    <xf numFmtId="0" fontId="10" fillId="0" borderId="0" xfId="10" applyFont="1" applyFill="1"/>
    <xf numFmtId="0" fontId="9" fillId="0" borderId="0" xfId="10" applyFont="1" applyFill="1" applyAlignment="1">
      <alignment horizontal="center" vertical="center"/>
    </xf>
    <xf numFmtId="0" fontId="8" fillId="0" borderId="23" xfId="0" applyFont="1" applyBorder="1" applyAlignment="1">
      <alignment vertical="top" wrapText="1"/>
    </xf>
    <xf numFmtId="0" fontId="8" fillId="0" borderId="23" xfId="0" applyFont="1" applyBorder="1" applyAlignment="1">
      <alignment horizontal="center" vertical="top" wrapText="1"/>
    </xf>
    <xf numFmtId="0" fontId="8" fillId="0" borderId="13" xfId="0" applyFont="1" applyBorder="1" applyAlignment="1">
      <alignment vertical="top"/>
    </xf>
    <xf numFmtId="0" fontId="68" fillId="22" borderId="24" xfId="0" applyFont="1" applyFill="1" applyBorder="1" applyAlignment="1">
      <alignment horizontal="left" vertical="center" wrapText="1"/>
    </xf>
    <xf numFmtId="2" fontId="66" fillId="30" borderId="0" xfId="12" applyNumberFormat="1" applyBorder="1"/>
    <xf numFmtId="2" fontId="6" fillId="4" borderId="0" xfId="1" applyNumberFormat="1" applyBorder="1"/>
    <xf numFmtId="0" fontId="0" fillId="0" borderId="6" xfId="0" applyBorder="1" applyAlignment="1"/>
    <xf numFmtId="0" fontId="0" fillId="22" borderId="24" xfId="0" applyFill="1" applyBorder="1" applyAlignment="1">
      <alignment horizontal="left" vertical="center" wrapText="1"/>
    </xf>
    <xf numFmtId="0" fontId="0" fillId="0" borderId="24" xfId="0" applyFill="1" applyBorder="1" applyAlignment="1">
      <alignment horizontal="left" vertical="center" wrapText="1"/>
    </xf>
    <xf numFmtId="0" fontId="0" fillId="0" borderId="24" xfId="0" applyBorder="1" applyAlignment="1">
      <alignment horizontal="left" vertical="center" wrapText="1"/>
    </xf>
    <xf numFmtId="0" fontId="0" fillId="23" borderId="0" xfId="0" applyFill="1" applyBorder="1" applyAlignment="1">
      <alignment wrapText="1"/>
    </xf>
    <xf numFmtId="0" fontId="0" fillId="0" borderId="0" xfId="0" applyFill="1" applyBorder="1" applyAlignment="1">
      <alignment horizontal="left" vertical="center" wrapText="1"/>
    </xf>
    <xf numFmtId="0" fontId="0" fillId="31" borderId="0" xfId="0" applyFill="1" applyAlignment="1">
      <alignment horizontal="left" vertical="center" wrapText="1"/>
    </xf>
    <xf numFmtId="0" fontId="0" fillId="31" borderId="0" xfId="0" applyFill="1"/>
    <xf numFmtId="0" fontId="0" fillId="31" borderId="0" xfId="0" applyFill="1" applyAlignment="1">
      <alignment wrapText="1"/>
    </xf>
    <xf numFmtId="2" fontId="0" fillId="31" borderId="0" xfId="0" applyNumberFormat="1" applyFill="1"/>
    <xf numFmtId="0" fontId="0" fillId="0" borderId="0" xfId="0" applyAlignment="1">
      <alignment horizontal="left" vertical="center" wrapText="1"/>
    </xf>
    <xf numFmtId="0" fontId="10" fillId="0" borderId="0" xfId="13"/>
    <xf numFmtId="0" fontId="10" fillId="0" borderId="0" xfId="13" applyAlignment="1">
      <alignment horizontal="left"/>
    </xf>
    <xf numFmtId="0" fontId="55" fillId="0" borderId="67" xfId="13" applyFont="1" applyBorder="1" applyAlignment="1">
      <alignment horizontal="center" wrapText="1"/>
    </xf>
    <xf numFmtId="0" fontId="55" fillId="27" borderId="30" xfId="13" applyFont="1" applyFill="1" applyBorder="1" applyAlignment="1">
      <alignment horizontal="center" vertical="center" wrapText="1"/>
    </xf>
    <xf numFmtId="0" fontId="56" fillId="0" borderId="5" xfId="13" applyFont="1" applyBorder="1" applyAlignment="1">
      <alignment horizontal="center" wrapText="1"/>
    </xf>
    <xf numFmtId="0" fontId="55" fillId="0" borderId="9" xfId="13" applyFont="1" applyBorder="1" applyAlignment="1">
      <alignment horizontal="center" wrapText="1"/>
    </xf>
    <xf numFmtId="0" fontId="57" fillId="28" borderId="5" xfId="13" applyFont="1" applyFill="1" applyBorder="1" applyAlignment="1">
      <alignment horizontal="left"/>
    </xf>
    <xf numFmtId="0" fontId="57" fillId="28" borderId="5" xfId="13" applyFont="1" applyFill="1" applyBorder="1" applyAlignment="1">
      <alignment horizontal="center"/>
    </xf>
    <xf numFmtId="2" fontId="57" fillId="28" borderId="5" xfId="13" applyNumberFormat="1" applyFont="1" applyFill="1" applyBorder="1" applyAlignment="1">
      <alignment horizontal="center"/>
    </xf>
    <xf numFmtId="0" fontId="57" fillId="0" borderId="9" xfId="13" applyFont="1" applyBorder="1" applyAlignment="1">
      <alignment horizontal="center" wrapText="1"/>
    </xf>
    <xf numFmtId="0" fontId="9" fillId="0" borderId="0" xfId="13" applyFont="1"/>
    <xf numFmtId="0" fontId="67" fillId="0" borderId="0" xfId="13" applyFont="1" applyAlignment="1">
      <alignment horizontal="left"/>
    </xf>
    <xf numFmtId="0" fontId="58" fillId="0" borderId="0" xfId="13" applyFont="1"/>
    <xf numFmtId="0" fontId="9" fillId="0" borderId="0" xfId="13" applyFont="1" applyAlignment="1">
      <alignment horizontal="center" vertical="center"/>
    </xf>
    <xf numFmtId="0" fontId="10" fillId="0" borderId="0" xfId="13" applyFont="1"/>
    <xf numFmtId="0" fontId="10" fillId="0" borderId="0" xfId="13" applyFont="1" applyFill="1"/>
    <xf numFmtId="0" fontId="9" fillId="0" borderId="0" xfId="13" applyFont="1" applyFill="1" applyAlignment="1">
      <alignment horizontal="center" vertical="center"/>
    </xf>
    <xf numFmtId="0" fontId="8" fillId="0" borderId="23" xfId="0" applyFont="1" applyBorder="1" applyAlignment="1">
      <alignment vertical="top"/>
    </xf>
    <xf numFmtId="0" fontId="0" fillId="23" borderId="0" xfId="0" applyFill="1" applyBorder="1"/>
    <xf numFmtId="0" fontId="0" fillId="0" borderId="0" xfId="0" applyFill="1" applyBorder="1"/>
    <xf numFmtId="0" fontId="0" fillId="0" borderId="0" xfId="0" applyBorder="1" applyAlignment="1"/>
    <xf numFmtId="0" fontId="4" fillId="0" borderId="0" xfId="0" applyFont="1" applyBorder="1" applyAlignment="1"/>
    <xf numFmtId="0" fontId="8" fillId="0" borderId="14" xfId="0" applyFont="1" applyBorder="1" applyAlignment="1">
      <alignment horizontal="left" vertical="top" wrapText="1"/>
    </xf>
    <xf numFmtId="0" fontId="0" fillId="0" borderId="0" xfId="0" applyBorder="1" applyAlignment="1">
      <alignment horizontal="left" vertical="top" wrapText="1"/>
    </xf>
    <xf numFmtId="0" fontId="69" fillId="15" borderId="5" xfId="0" applyFont="1" applyFill="1" applyBorder="1" applyAlignment="1">
      <alignment vertical="center"/>
    </xf>
    <xf numFmtId="0" fontId="8" fillId="0" borderId="0" xfId="0" applyFont="1" applyAlignment="1">
      <alignment horizontal="left" vertical="center" wrapText="1"/>
    </xf>
    <xf numFmtId="1" fontId="0" fillId="0" borderId="0" xfId="5" applyNumberFormat="1" applyFont="1" applyAlignment="1">
      <alignment horizontal="right"/>
    </xf>
    <xf numFmtId="2" fontId="0" fillId="0" borderId="0" xfId="0" applyNumberFormat="1" applyAlignment="1">
      <alignment horizontal="right"/>
    </xf>
    <xf numFmtId="0" fontId="0" fillId="0" borderId="0" xfId="0" applyFill="1" applyAlignment="1">
      <alignment wrapText="1"/>
    </xf>
    <xf numFmtId="0" fontId="9" fillId="7" borderId="22" xfId="0" applyFont="1" applyFill="1" applyBorder="1" applyAlignment="1">
      <alignment horizontal="right" vertical="top" wrapText="1"/>
    </xf>
    <xf numFmtId="0" fontId="26" fillId="11" borderId="0" xfId="0" applyFont="1" applyFill="1" applyAlignment="1">
      <alignment horizontal="right"/>
    </xf>
    <xf numFmtId="0" fontId="65" fillId="24" borderId="0" xfId="0" applyFont="1" applyFill="1" applyAlignment="1">
      <alignment horizontal="right" vertical="center" wrapText="1"/>
    </xf>
    <xf numFmtId="168" fontId="0" fillId="0" borderId="0" xfId="0" applyNumberFormat="1" applyAlignment="1">
      <alignment horizontal="right"/>
    </xf>
    <xf numFmtId="0" fontId="50" fillId="29" borderId="143" xfId="0" applyFont="1" applyFill="1" applyBorder="1" applyAlignment="1">
      <alignment vertical="center" wrapText="1"/>
    </xf>
    <xf numFmtId="8" fontId="50" fillId="29" borderId="143" xfId="0" applyNumberFormat="1" applyFont="1" applyFill="1" applyBorder="1" applyAlignment="1">
      <alignment vertical="center" wrapText="1"/>
    </xf>
    <xf numFmtId="0" fontId="70" fillId="29" borderId="143" xfId="0" applyFont="1" applyFill="1" applyBorder="1" applyAlignment="1">
      <alignment vertical="center" wrapText="1"/>
    </xf>
    <xf numFmtId="0" fontId="16" fillId="9" borderId="60" xfId="0" applyFont="1" applyFill="1" applyBorder="1" applyAlignment="1">
      <alignment horizontal="right" vertical="center" wrapText="1"/>
    </xf>
    <xf numFmtId="0" fontId="16" fillId="9" borderId="34" xfId="0" applyFont="1" applyFill="1" applyBorder="1" applyAlignment="1">
      <alignment horizontal="right" vertical="center" wrapText="1"/>
    </xf>
    <xf numFmtId="0" fontId="16" fillId="0" borderId="22"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5" fillId="0" borderId="0" xfId="0" applyFont="1" applyBorder="1" applyAlignment="1">
      <alignment horizontal="center" wrapText="1"/>
    </xf>
    <xf numFmtId="0" fontId="25" fillId="0" borderId="0" xfId="0" applyFont="1" applyAlignment="1">
      <alignment horizontal="center" wrapText="1"/>
    </xf>
    <xf numFmtId="0" fontId="16" fillId="9" borderId="56" xfId="0" applyFont="1" applyFill="1" applyBorder="1" applyAlignment="1">
      <alignment horizontal="right" vertical="center" wrapText="1"/>
    </xf>
    <xf numFmtId="0" fontId="16" fillId="9" borderId="57" xfId="0" applyFont="1" applyFill="1" applyBorder="1" applyAlignment="1">
      <alignment horizontal="right" vertical="center" wrapText="1"/>
    </xf>
    <xf numFmtId="0" fontId="17" fillId="0" borderId="58" xfId="0" applyFont="1" applyFill="1" applyBorder="1" applyAlignment="1">
      <alignment horizontal="center" vertical="center" wrapText="1"/>
    </xf>
    <xf numFmtId="0" fontId="17" fillId="0" borderId="59" xfId="0" applyFont="1" applyFill="1" applyBorder="1" applyAlignment="1">
      <alignment horizontal="center" vertical="center" wrapText="1"/>
    </xf>
    <xf numFmtId="0" fontId="20" fillId="0" borderId="23" xfId="0" applyFont="1" applyBorder="1" applyAlignment="1">
      <alignment horizontal="center" vertical="center" wrapText="1"/>
    </xf>
    <xf numFmtId="0" fontId="20" fillId="0" borderId="0" xfId="0" applyFont="1" applyBorder="1" applyAlignment="1">
      <alignment horizontal="center" vertical="center" wrapText="1"/>
    </xf>
    <xf numFmtId="0" fontId="21" fillId="6" borderId="53" xfId="3" applyFont="1" applyBorder="1" applyAlignment="1">
      <alignment horizontal="center" vertical="center" wrapText="1"/>
    </xf>
    <xf numFmtId="0" fontId="21" fillId="6" borderId="55" xfId="3" applyFont="1" applyBorder="1" applyAlignment="1">
      <alignment horizontal="center" vertical="center" wrapText="1"/>
    </xf>
    <xf numFmtId="0" fontId="23" fillId="4" borderId="65" xfId="1" applyFont="1" applyBorder="1" applyAlignment="1">
      <alignment horizontal="center" vertical="center" wrapText="1"/>
    </xf>
    <xf numFmtId="0" fontId="23" fillId="4" borderId="66" xfId="1" applyFont="1" applyBorder="1" applyAlignment="1">
      <alignment horizontal="center" vertical="center" wrapText="1"/>
    </xf>
    <xf numFmtId="0" fontId="24" fillId="0" borderId="0" xfId="0" applyFont="1" applyBorder="1" applyAlignment="1">
      <alignment horizontal="center"/>
    </xf>
    <xf numFmtId="0" fontId="18" fillId="0" borderId="22" xfId="0" applyFont="1" applyBorder="1" applyAlignment="1">
      <alignment horizontal="left" vertical="center" wrapText="1"/>
    </xf>
    <xf numFmtId="0" fontId="18" fillId="0" borderId="38" xfId="0" applyFont="1" applyBorder="1" applyAlignment="1">
      <alignment horizontal="left" vertical="center" wrapText="1"/>
    </xf>
    <xf numFmtId="0" fontId="16" fillId="9" borderId="61" xfId="0" applyFont="1" applyFill="1" applyBorder="1" applyAlignment="1">
      <alignment horizontal="right" vertical="center" wrapText="1"/>
    </xf>
    <xf numFmtId="0" fontId="16" fillId="9" borderId="62" xfId="0" applyFont="1" applyFill="1" applyBorder="1" applyAlignment="1">
      <alignment horizontal="right" vertical="center" wrapText="1"/>
    </xf>
    <xf numFmtId="0" fontId="48" fillId="0" borderId="63" xfId="6" applyBorder="1" applyAlignment="1">
      <alignment horizontal="left" vertical="center"/>
    </xf>
    <xf numFmtId="0" fontId="18" fillId="0" borderId="63" xfId="0" applyFont="1" applyBorder="1" applyAlignment="1">
      <alignment horizontal="left" vertical="center"/>
    </xf>
    <xf numFmtId="0" fontId="18" fillId="0" borderId="64" xfId="0" applyFont="1" applyBorder="1" applyAlignment="1">
      <alignment horizontal="left" vertical="center"/>
    </xf>
    <xf numFmtId="0" fontId="19" fillId="0" borderId="0" xfId="0" applyFont="1" applyBorder="1" applyAlignment="1">
      <alignment horizontal="center"/>
    </xf>
    <xf numFmtId="0" fontId="20" fillId="9" borderId="14" xfId="0" applyFont="1" applyFill="1" applyBorder="1" applyAlignment="1">
      <alignment horizontal="center" vertical="center" wrapText="1"/>
    </xf>
    <xf numFmtId="0" fontId="20" fillId="9" borderId="13" xfId="0" applyFont="1" applyFill="1" applyBorder="1" applyAlignment="1">
      <alignment horizontal="center" vertical="center" wrapText="1"/>
    </xf>
    <xf numFmtId="0" fontId="20" fillId="9" borderId="15" xfId="0" applyFont="1" applyFill="1" applyBorder="1" applyAlignment="1">
      <alignment horizontal="center" vertical="center" wrapText="1"/>
    </xf>
    <xf numFmtId="0" fontId="20" fillId="9" borderId="5" xfId="0" applyFont="1" applyFill="1" applyBorder="1" applyAlignment="1">
      <alignment horizontal="center" vertical="center" wrapText="1"/>
    </xf>
    <xf numFmtId="0" fontId="20" fillId="0" borderId="26" xfId="0" applyFont="1" applyBorder="1" applyAlignment="1">
      <alignment horizontal="center" vertical="center" wrapText="1"/>
    </xf>
    <xf numFmtId="0" fontId="22" fillId="5" borderId="52" xfId="2" applyFont="1" applyBorder="1" applyAlignment="1">
      <alignment horizontal="center" vertical="center" wrapText="1"/>
    </xf>
    <xf numFmtId="0" fontId="22" fillId="5" borderId="44" xfId="2" applyFont="1" applyBorder="1" applyAlignment="1">
      <alignment horizontal="center" vertical="center" wrapText="1"/>
    </xf>
    <xf numFmtId="0" fontId="33" fillId="17" borderId="21" xfId="0" applyFont="1" applyFill="1" applyBorder="1" applyAlignment="1">
      <alignment horizontal="center" vertical="center"/>
    </xf>
    <xf numFmtId="0" fontId="8" fillId="0" borderId="121" xfId="0" applyFont="1" applyBorder="1" applyAlignment="1">
      <alignment horizontal="center"/>
    </xf>
    <xf numFmtId="0" fontId="8" fillId="0" borderId="34" xfId="0" applyFont="1" applyBorder="1" applyAlignment="1">
      <alignment horizontal="center"/>
    </xf>
    <xf numFmtId="0" fontId="8" fillId="0" borderId="111" xfId="0" applyFont="1" applyBorder="1" applyAlignment="1">
      <alignment horizontal="center"/>
    </xf>
    <xf numFmtId="0" fontId="0" fillId="7" borderId="25" xfId="0" applyFill="1" applyBorder="1" applyAlignment="1">
      <alignment horizontal="center" vertical="top" wrapText="1"/>
    </xf>
    <xf numFmtId="0" fontId="0" fillId="7" borderId="5" xfId="0" applyFill="1" applyBorder="1" applyAlignment="1">
      <alignment horizontal="center" vertical="top" wrapText="1"/>
    </xf>
    <xf numFmtId="0" fontId="9" fillId="7" borderId="28" xfId="0" applyFont="1" applyFill="1" applyBorder="1" applyAlignment="1">
      <alignment horizontal="center" vertical="top" wrapText="1"/>
    </xf>
    <xf numFmtId="0" fontId="9" fillId="7" borderId="29" xfId="0" applyFont="1" applyFill="1" applyBorder="1" applyAlignment="1">
      <alignment horizontal="center" vertical="top" wrapText="1"/>
    </xf>
    <xf numFmtId="0" fontId="9" fillId="7" borderId="30" xfId="0" applyFont="1" applyFill="1" applyBorder="1" applyAlignment="1">
      <alignment horizontal="center" vertical="top" wrapText="1"/>
    </xf>
    <xf numFmtId="0" fontId="9" fillId="7" borderId="14" xfId="0" applyFont="1" applyFill="1" applyBorder="1" applyAlignment="1">
      <alignment horizontal="center" vertical="top" wrapText="1"/>
    </xf>
    <xf numFmtId="0" fontId="9" fillId="7" borderId="23" xfId="0" applyFont="1" applyFill="1" applyBorder="1" applyAlignment="1">
      <alignment horizontal="center" vertical="top" wrapText="1"/>
    </xf>
    <xf numFmtId="0" fontId="9" fillId="7" borderId="13" xfId="0" applyFont="1" applyFill="1" applyBorder="1" applyAlignment="1">
      <alignment horizontal="center" vertical="top" wrapText="1"/>
    </xf>
    <xf numFmtId="0" fontId="0" fillId="7" borderId="31" xfId="0" applyFill="1" applyBorder="1" applyAlignment="1">
      <alignment horizontal="center" vertical="top" wrapText="1"/>
    </xf>
    <xf numFmtId="0" fontId="0" fillId="7" borderId="13" xfId="0" applyFill="1" applyBorder="1" applyAlignment="1">
      <alignment horizontal="center" vertical="top" wrapText="1"/>
    </xf>
    <xf numFmtId="0" fontId="8" fillId="17" borderId="121" xfId="0" applyFont="1" applyFill="1" applyBorder="1" applyAlignment="1">
      <alignment horizontal="left" wrapText="1"/>
    </xf>
    <xf numFmtId="0" fontId="8" fillId="17" borderId="34" xfId="0" applyFont="1" applyFill="1" applyBorder="1" applyAlignment="1">
      <alignment horizontal="left" wrapText="1"/>
    </xf>
    <xf numFmtId="0" fontId="8" fillId="17" borderId="111" xfId="0" applyFont="1" applyFill="1" applyBorder="1" applyAlignment="1">
      <alignment horizontal="left" wrapText="1"/>
    </xf>
    <xf numFmtId="0" fontId="8" fillId="17" borderId="84" xfId="0" applyFont="1" applyFill="1" applyBorder="1" applyAlignment="1">
      <alignment horizontal="center" vertical="top" wrapText="1"/>
    </xf>
    <xf numFmtId="0" fontId="8" fillId="17" borderId="122" xfId="0" applyFont="1" applyFill="1" applyBorder="1" applyAlignment="1">
      <alignment horizontal="center" vertical="top" wrapText="1"/>
    </xf>
    <xf numFmtId="0" fontId="8" fillId="17" borderId="112" xfId="0" applyFont="1" applyFill="1" applyBorder="1" applyAlignment="1">
      <alignment horizontal="center" vertical="top" wrapText="1"/>
    </xf>
    <xf numFmtId="0" fontId="8" fillId="11" borderId="121" xfId="0" applyFont="1" applyFill="1" applyBorder="1" applyAlignment="1">
      <alignment horizontal="center" wrapText="1"/>
    </xf>
    <xf numFmtId="0" fontId="8" fillId="11" borderId="111" xfId="0" applyFont="1" applyFill="1" applyBorder="1" applyAlignment="1">
      <alignment horizontal="center" wrapText="1"/>
    </xf>
    <xf numFmtId="0" fontId="8" fillId="11" borderId="121" xfId="0" applyFont="1" applyFill="1" applyBorder="1" applyAlignment="1">
      <alignment horizontal="center" vertical="center" wrapText="1"/>
    </xf>
    <xf numFmtId="0" fontId="8" fillId="11" borderId="111" xfId="0" applyFont="1" applyFill="1" applyBorder="1" applyAlignment="1">
      <alignment horizontal="center" vertical="center" wrapText="1"/>
    </xf>
    <xf numFmtId="0" fontId="9" fillId="7" borderId="24" xfId="0" applyFont="1" applyFill="1" applyBorder="1" applyAlignment="1">
      <alignment horizontal="center" vertical="top" wrapText="1"/>
    </xf>
    <xf numFmtId="0" fontId="9" fillId="7" borderId="0" xfId="0" applyFont="1" applyFill="1" applyBorder="1" applyAlignment="1">
      <alignment horizontal="center" vertical="top" wrapText="1"/>
    </xf>
    <xf numFmtId="0" fontId="9" fillId="7" borderId="20" xfId="0" applyFont="1" applyFill="1" applyBorder="1" applyAlignment="1">
      <alignment horizontal="center" vertical="top" wrapText="1"/>
    </xf>
    <xf numFmtId="0" fontId="9" fillId="7" borderId="19" xfId="0" applyFont="1" applyFill="1" applyBorder="1" applyAlignment="1">
      <alignment horizontal="center" vertical="top" wrapText="1"/>
    </xf>
    <xf numFmtId="0" fontId="9" fillId="7" borderId="6" xfId="0" applyFont="1" applyFill="1" applyBorder="1" applyAlignment="1">
      <alignment horizontal="center" vertical="top" wrapText="1"/>
    </xf>
    <xf numFmtId="0" fontId="9" fillId="7" borderId="18" xfId="0" applyFont="1" applyFill="1" applyBorder="1" applyAlignment="1">
      <alignment horizontal="center" vertical="top" wrapText="1"/>
    </xf>
    <xf numFmtId="0" fontId="9" fillId="7" borderId="33" xfId="0" applyFont="1" applyFill="1" applyBorder="1" applyAlignment="1">
      <alignment horizontal="center" vertical="top" wrapText="1"/>
    </xf>
    <xf numFmtId="0" fontId="0" fillId="16" borderId="24" xfId="0" applyFill="1" applyBorder="1" applyAlignment="1">
      <alignment horizontal="center" vertical="top" wrapText="1"/>
    </xf>
    <xf numFmtId="0" fontId="0" fillId="16" borderId="0" xfId="0" applyFill="1" applyBorder="1" applyAlignment="1">
      <alignment horizontal="center" vertical="top" wrapText="1"/>
    </xf>
    <xf numFmtId="0" fontId="0" fillId="16" borderId="20" xfId="0" applyFill="1" applyBorder="1" applyAlignment="1">
      <alignment horizontal="center" vertical="top" wrapText="1"/>
    </xf>
    <xf numFmtId="0" fontId="8" fillId="8" borderId="24" xfId="0" applyFont="1" applyFill="1" applyBorder="1" applyAlignment="1">
      <alignment horizontal="left" vertical="top" wrapText="1"/>
    </xf>
    <xf numFmtId="0" fontId="8" fillId="8" borderId="15" xfId="0" applyFont="1" applyFill="1" applyBorder="1" applyAlignment="1">
      <alignment horizontal="left" vertical="top" wrapText="1"/>
    </xf>
    <xf numFmtId="0" fontId="0" fillId="8" borderId="0" xfId="0" applyFill="1" applyBorder="1" applyAlignment="1">
      <alignment horizontal="left" vertical="top" wrapText="1"/>
    </xf>
    <xf numFmtId="0" fontId="0" fillId="8" borderId="26" xfId="0" applyFill="1" applyBorder="1" applyAlignment="1">
      <alignment horizontal="left" vertical="top" wrapText="1"/>
    </xf>
    <xf numFmtId="0" fontId="0" fillId="15" borderId="19" xfId="0" applyFill="1" applyBorder="1" applyAlignment="1">
      <alignment horizontal="center" vertical="top" wrapText="1"/>
    </xf>
    <xf numFmtId="0" fontId="0" fillId="15" borderId="0" xfId="0" applyFill="1" applyBorder="1" applyAlignment="1">
      <alignment horizontal="center" vertical="top" wrapText="1"/>
    </xf>
    <xf numFmtId="0" fontId="0" fillId="15" borderId="6" xfId="0" applyFill="1" applyBorder="1" applyAlignment="1">
      <alignment horizontal="center" vertical="top" wrapText="1"/>
    </xf>
    <xf numFmtId="0" fontId="8" fillId="0" borderId="14" xfId="0" applyFont="1" applyBorder="1" applyAlignment="1">
      <alignment horizontal="left" vertical="top" wrapText="1"/>
    </xf>
    <xf numFmtId="0" fontId="8" fillId="0" borderId="24" xfId="0" applyFont="1" applyBorder="1" applyAlignment="1">
      <alignment horizontal="left" vertical="top" wrapText="1"/>
    </xf>
    <xf numFmtId="0" fontId="8" fillId="0" borderId="15" xfId="0" applyFont="1" applyBorder="1" applyAlignment="1">
      <alignment horizontal="left" vertical="top" wrapText="1"/>
    </xf>
    <xf numFmtId="0" fontId="0" fillId="0" borderId="23" xfId="0" applyBorder="1" applyAlignment="1">
      <alignment horizontal="left" vertical="top" wrapText="1"/>
    </xf>
    <xf numFmtId="0" fontId="0" fillId="0" borderId="0" xfId="0" applyBorder="1" applyAlignment="1">
      <alignment horizontal="left" vertical="top" wrapText="1"/>
    </xf>
    <xf numFmtId="0" fontId="0" fillId="0" borderId="26" xfId="0" applyBorder="1" applyAlignment="1">
      <alignment horizontal="left" vertical="top" wrapText="1"/>
    </xf>
    <xf numFmtId="0" fontId="0" fillId="15" borderId="20" xfId="0" applyFill="1" applyBorder="1" applyAlignment="1">
      <alignment horizontal="center" vertical="top" wrapText="1"/>
    </xf>
    <xf numFmtId="0" fontId="0" fillId="16" borderId="14" xfId="0" applyFill="1" applyBorder="1" applyAlignment="1">
      <alignment horizontal="center" vertical="top" wrapText="1"/>
    </xf>
    <xf numFmtId="0" fontId="0" fillId="16" borderId="23" xfId="0" applyFill="1" applyBorder="1" applyAlignment="1">
      <alignment horizontal="center" vertical="top" wrapText="1"/>
    </xf>
    <xf numFmtId="0" fontId="0" fillId="16" borderId="13" xfId="0" applyFill="1" applyBorder="1" applyAlignment="1">
      <alignment horizontal="center" vertical="top" wrapText="1"/>
    </xf>
    <xf numFmtId="0" fontId="30" fillId="0" borderId="0" xfId="0" applyFont="1" applyBorder="1" applyAlignment="1">
      <alignment horizontal="center"/>
    </xf>
    <xf numFmtId="0" fontId="33" fillId="0" borderId="0" xfId="0" applyFont="1"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26" fillId="12" borderId="28" xfId="0" applyFont="1" applyFill="1" applyBorder="1" applyAlignment="1">
      <alignment horizontal="left"/>
    </xf>
    <xf numFmtId="0" fontId="26" fillId="12" borderId="29" xfId="0" applyFont="1" applyFill="1" applyBorder="1" applyAlignment="1">
      <alignment horizontal="left"/>
    </xf>
    <xf numFmtId="0" fontId="27" fillId="0" borderId="26" xfId="0" applyFont="1" applyBorder="1" applyAlignment="1">
      <alignment horizontal="left"/>
    </xf>
    <xf numFmtId="0" fontId="27" fillId="0" borderId="27" xfId="0" applyFont="1" applyBorder="1" applyAlignment="1">
      <alignment horizontal="left"/>
    </xf>
    <xf numFmtId="0" fontId="26" fillId="11" borderId="28" xfId="0" applyFont="1" applyFill="1" applyBorder="1" applyAlignment="1">
      <alignment horizontal="left"/>
    </xf>
    <xf numFmtId="0" fontId="26" fillId="11" borderId="29" xfId="0" applyFont="1" applyFill="1" applyBorder="1" applyAlignment="1">
      <alignment horizontal="left"/>
    </xf>
    <xf numFmtId="0" fontId="26" fillId="12" borderId="0" xfId="0" applyFont="1" applyFill="1" applyAlignment="1">
      <alignment horizontal="left"/>
    </xf>
    <xf numFmtId="0" fontId="26" fillId="11" borderId="0" xfId="0" applyFont="1" applyFill="1" applyAlignment="1">
      <alignment horizontal="left"/>
    </xf>
    <xf numFmtId="0" fontId="0" fillId="0" borderId="0" xfId="0" applyBorder="1" applyAlignment="1">
      <alignment horizontal="center" wrapText="1"/>
    </xf>
    <xf numFmtId="0" fontId="1" fillId="0" borderId="8" xfId="0" applyFont="1" applyBorder="1" applyAlignment="1">
      <alignment horizontal="center" vertical="top"/>
    </xf>
    <xf numFmtId="0" fontId="1" fillId="0" borderId="78" xfId="0" applyFont="1" applyBorder="1" applyAlignment="1">
      <alignment horizontal="center" vertical="top"/>
    </xf>
    <xf numFmtId="0" fontId="5" fillId="0" borderId="8" xfId="0" applyFont="1" applyBorder="1" applyAlignment="1">
      <alignment horizontal="left" vertical="top" wrapText="1"/>
    </xf>
    <xf numFmtId="0" fontId="5" fillId="0" borderId="78" xfId="0" applyFont="1" applyBorder="1" applyAlignment="1">
      <alignment horizontal="left" vertical="top" wrapText="1"/>
    </xf>
    <xf numFmtId="0" fontId="1" fillId="0" borderId="8" xfId="0" applyFont="1" applyBorder="1" applyAlignment="1">
      <alignment vertical="top" wrapText="1"/>
    </xf>
    <xf numFmtId="0" fontId="1" fillId="0" borderId="78" xfId="0" applyFont="1" applyBorder="1" applyAlignment="1">
      <alignment vertical="top" wrapText="1"/>
    </xf>
    <xf numFmtId="2" fontId="3" fillId="6" borderId="89" xfId="3" applyNumberFormat="1" applyFont="1" applyBorder="1" applyAlignment="1">
      <alignment horizontal="right" vertical="top" wrapText="1"/>
    </xf>
    <xf numFmtId="2" fontId="3" fillId="6" borderId="90" xfId="3" applyNumberFormat="1" applyFont="1" applyBorder="1" applyAlignment="1">
      <alignment horizontal="right" vertical="top" wrapText="1"/>
    </xf>
    <xf numFmtId="0" fontId="5" fillId="0" borderId="7" xfId="0" applyFont="1" applyBorder="1" applyAlignment="1">
      <alignment horizontal="left" vertical="top" wrapText="1"/>
    </xf>
    <xf numFmtId="0" fontId="5" fillId="0" borderId="4" xfId="0" applyFont="1" applyBorder="1" applyAlignment="1">
      <alignment horizontal="left" vertical="top" wrapText="1"/>
    </xf>
    <xf numFmtId="165" fontId="42" fillId="4" borderId="8" xfId="4" applyNumberFormat="1" applyFont="1" applyFill="1" applyBorder="1" applyAlignment="1">
      <alignment horizontal="right" vertical="top" wrapText="1"/>
    </xf>
    <xf numFmtId="165" fontId="42" fillId="4" borderId="9" xfId="4" applyNumberFormat="1" applyFont="1" applyFill="1" applyBorder="1" applyAlignment="1">
      <alignment horizontal="right" vertical="top" wrapText="1"/>
    </xf>
    <xf numFmtId="0" fontId="5" fillId="3" borderId="7" xfId="0" applyFont="1" applyFill="1" applyBorder="1" applyAlignment="1">
      <alignment horizontal="left" vertical="top" wrapText="1"/>
    </xf>
    <xf numFmtId="0" fontId="5" fillId="3" borderId="4" xfId="0" applyFont="1" applyFill="1" applyBorder="1" applyAlignment="1">
      <alignment horizontal="left" vertical="top" wrapText="1"/>
    </xf>
    <xf numFmtId="165" fontId="42" fillId="4" borderId="8" xfId="4" applyNumberFormat="1" applyFont="1" applyFill="1" applyBorder="1" applyAlignment="1">
      <alignment vertical="top" wrapText="1"/>
    </xf>
    <xf numFmtId="165" fontId="42" fillId="4" borderId="9" xfId="4" applyNumberFormat="1" applyFont="1" applyFill="1" applyBorder="1" applyAlignment="1">
      <alignment vertical="top" wrapText="1"/>
    </xf>
    <xf numFmtId="0" fontId="5" fillId="0" borderId="14" xfId="0" applyFont="1" applyBorder="1" applyAlignment="1">
      <alignment horizontal="left" vertical="top" wrapText="1"/>
    </xf>
    <xf numFmtId="0" fontId="5" fillId="0" borderId="15" xfId="0" applyFont="1" applyBorder="1" applyAlignment="1">
      <alignment horizontal="left" vertical="top" wrapText="1"/>
    </xf>
    <xf numFmtId="2" fontId="42" fillId="4" borderId="8" xfId="4" applyNumberFormat="1" applyFont="1" applyFill="1" applyBorder="1" applyAlignment="1">
      <alignment vertical="top" wrapText="1"/>
    </xf>
    <xf numFmtId="2" fontId="42" fillId="4" borderId="9" xfId="4" applyNumberFormat="1" applyFont="1" applyFill="1" applyBorder="1" applyAlignment="1">
      <alignment vertical="top" wrapText="1"/>
    </xf>
    <xf numFmtId="0" fontId="1" fillId="0" borderId="9" xfId="0" applyFont="1" applyBorder="1" applyAlignment="1">
      <alignment vertical="top" wrapText="1"/>
    </xf>
    <xf numFmtId="0" fontId="5" fillId="0" borderId="11" xfId="0" applyFont="1" applyBorder="1" applyAlignment="1">
      <alignment horizontal="left" vertical="top" wrapText="1"/>
    </xf>
    <xf numFmtId="0" fontId="5" fillId="0" borderId="12" xfId="0" applyFont="1" applyBorder="1" applyAlignment="1">
      <alignment horizontal="left" vertical="top" wrapText="1"/>
    </xf>
    <xf numFmtId="0" fontId="5" fillId="0" borderId="8" xfId="0" applyFont="1" applyBorder="1" applyAlignment="1">
      <alignment horizontal="center" vertical="top" wrapText="1"/>
    </xf>
    <xf numFmtId="0" fontId="5" fillId="0" borderId="9" xfId="0" applyFont="1" applyBorder="1" applyAlignment="1">
      <alignment horizontal="center" vertical="top" wrapText="1"/>
    </xf>
    <xf numFmtId="0" fontId="1" fillId="0" borderId="13" xfId="0" applyFont="1" applyBorder="1" applyAlignment="1">
      <alignment horizontal="center" vertical="top"/>
    </xf>
    <xf numFmtId="0" fontId="1" fillId="0" borderId="5" xfId="0" applyFont="1" applyBorder="1" applyAlignment="1">
      <alignment horizontal="center" vertical="top"/>
    </xf>
    <xf numFmtId="0" fontId="5" fillId="3" borderId="8" xfId="0" applyFont="1" applyFill="1" applyBorder="1" applyAlignment="1">
      <alignment horizontal="center" vertical="top" wrapText="1"/>
    </xf>
    <xf numFmtId="0" fontId="5" fillId="3" borderId="9" xfId="0" applyFont="1" applyFill="1" applyBorder="1" applyAlignment="1">
      <alignment horizontal="center" vertical="top" wrapText="1"/>
    </xf>
    <xf numFmtId="0" fontId="54" fillId="0" borderId="28" xfId="10" applyBorder="1" applyAlignment="1">
      <alignment horizontal="center"/>
    </xf>
    <xf numFmtId="0" fontId="54" fillId="0" borderId="29" xfId="10" applyBorder="1" applyAlignment="1">
      <alignment horizontal="center"/>
    </xf>
    <xf numFmtId="0" fontId="54" fillId="0" borderId="30" xfId="10" applyBorder="1" applyAlignment="1">
      <alignment horizontal="center"/>
    </xf>
    <xf numFmtId="0" fontId="10" fillId="0" borderId="28" xfId="13" applyFont="1" applyBorder="1" applyAlignment="1">
      <alignment horizontal="center"/>
    </xf>
    <xf numFmtId="0" fontId="10" fillId="0" borderId="29" xfId="13" applyBorder="1" applyAlignment="1">
      <alignment horizontal="center"/>
    </xf>
  </cellXfs>
  <cellStyles count="14">
    <cellStyle name="Čiarka" xfId="5" builtinId="3"/>
    <cellStyle name="Dobrá" xfId="1" builtinId="26"/>
    <cellStyle name="Hypertextové prepojenie" xfId="6" builtinId="8"/>
    <cellStyle name="Mena" xfId="11" builtinId="4"/>
    <cellStyle name="Mena 2" xfId="7" xr:uid="{67922704-6385-4BCE-97A2-F22020664434}"/>
    <cellStyle name="Normal 2" xfId="8" xr:uid="{00000000-0005-0000-0000-000005000000}"/>
    <cellStyle name="Normálna" xfId="0" builtinId="0"/>
    <cellStyle name="Normálna 2" xfId="10" xr:uid="{D6B9D6B3-5790-431B-A71D-5EB3C44399B9}"/>
    <cellStyle name="Normálna 2 2" xfId="13" xr:uid="{6418F4A9-1D87-4680-B71B-29F504C0AAFA}"/>
    <cellStyle name="Percent 2" xfId="9" xr:uid="{00000000-0005-0000-0000-000008000000}"/>
    <cellStyle name="Percentá" xfId="4" builtinId="5"/>
    <cellStyle name="Poznámka" xfId="3" builtinId="10"/>
    <cellStyle name="Výpočet" xfId="2" builtinId="22"/>
    <cellStyle name="Zlá" xfId="12" builtinId="27"/>
  </cellStyles>
  <dxfs count="8">
    <dxf>
      <font>
        <b/>
        <i val="0"/>
        <condense val="0"/>
        <extend val="0"/>
        <color indexed="10"/>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Calibri"/>
        <family val="2"/>
        <charset val="238"/>
        <scheme val="none"/>
      </font>
      <alignment horizontal="center" vertical="center" textRotation="0" wrapText="1" indent="0" justifyLastLine="0" shrinkToFit="0" readingOrder="0"/>
      <border diagonalUp="0" diagonalDown="0">
        <left/>
        <right style="medium">
          <color indexed="64"/>
        </right>
        <top/>
        <bottom style="medium">
          <color indexed="64"/>
        </bottom>
        <vertical/>
        <horizontal/>
      </border>
    </dxf>
    <dxf>
      <border outline="0">
        <left style="medium">
          <color indexed="64"/>
        </left>
      </border>
    </dxf>
    <dxf>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65</xdr:col>
      <xdr:colOff>237266</xdr:colOff>
      <xdr:row>45</xdr:row>
      <xdr:rowOff>84690</xdr:rowOff>
    </xdr:to>
    <xdr:pic>
      <xdr:nvPicPr>
        <xdr:cNvPr id="2" name="Obrázok 1">
          <a:extLst>
            <a:ext uri="{FF2B5EF4-FFF2-40B4-BE49-F238E27FC236}">
              <a16:creationId xmlns:a16="http://schemas.microsoft.com/office/drawing/2014/main" id="{531F81AF-7969-4ED9-AF86-C70D6EFAB073}"/>
            </a:ext>
          </a:extLst>
        </xdr:cNvPr>
        <xdr:cNvPicPr>
          <a:picLocks noChangeAspect="1"/>
        </xdr:cNvPicPr>
      </xdr:nvPicPr>
      <xdr:blipFill>
        <a:blip xmlns:r="http://schemas.openxmlformats.org/officeDocument/2006/relationships" r:embed="rId1"/>
        <a:stretch>
          <a:fillRect/>
        </a:stretch>
      </xdr:blipFill>
      <xdr:spPr>
        <a:xfrm>
          <a:off x="593912" y="381000"/>
          <a:ext cx="38247619" cy="8276190"/>
        </a:xfrm>
        <a:prstGeom prst="rect">
          <a:avLst/>
        </a:prstGeom>
      </xdr:spPr>
    </xdr:pic>
    <xdr:clientData/>
  </xdr:twoCellAnchor>
  <xdr:twoCellAnchor editAs="oneCell">
    <xdr:from>
      <xdr:col>1</xdr:col>
      <xdr:colOff>0</xdr:colOff>
      <xdr:row>50</xdr:row>
      <xdr:rowOff>0</xdr:rowOff>
    </xdr:from>
    <xdr:to>
      <xdr:col>44</xdr:col>
      <xdr:colOff>452270</xdr:colOff>
      <xdr:row>96</xdr:row>
      <xdr:rowOff>113190</xdr:rowOff>
    </xdr:to>
    <xdr:pic>
      <xdr:nvPicPr>
        <xdr:cNvPr id="3" name="Obrázok 2">
          <a:extLst>
            <a:ext uri="{FF2B5EF4-FFF2-40B4-BE49-F238E27FC236}">
              <a16:creationId xmlns:a16="http://schemas.microsoft.com/office/drawing/2014/main" id="{1850457A-DECD-4DA2-8ACA-283709FCBD1D}"/>
            </a:ext>
          </a:extLst>
        </xdr:cNvPr>
        <xdr:cNvPicPr>
          <a:picLocks noChangeAspect="1"/>
        </xdr:cNvPicPr>
      </xdr:nvPicPr>
      <xdr:blipFill>
        <a:blip xmlns:r="http://schemas.openxmlformats.org/officeDocument/2006/relationships" r:embed="rId2"/>
        <a:stretch>
          <a:fillRect/>
        </a:stretch>
      </xdr:blipFill>
      <xdr:spPr>
        <a:xfrm>
          <a:off x="593912" y="9525000"/>
          <a:ext cx="25990476" cy="8876190"/>
        </a:xfrm>
        <a:prstGeom prst="rect">
          <a:avLst/>
        </a:prstGeom>
      </xdr:spPr>
    </xdr:pic>
    <xdr:clientData/>
  </xdr:twoCellAnchor>
  <xdr:twoCellAnchor editAs="oneCell">
    <xdr:from>
      <xdr:col>1</xdr:col>
      <xdr:colOff>0</xdr:colOff>
      <xdr:row>99</xdr:row>
      <xdr:rowOff>0</xdr:rowOff>
    </xdr:from>
    <xdr:to>
      <xdr:col>41</xdr:col>
      <xdr:colOff>319720</xdr:colOff>
      <xdr:row>145</xdr:row>
      <xdr:rowOff>113190</xdr:rowOff>
    </xdr:to>
    <xdr:pic>
      <xdr:nvPicPr>
        <xdr:cNvPr id="4" name="Obrázok 3">
          <a:extLst>
            <a:ext uri="{FF2B5EF4-FFF2-40B4-BE49-F238E27FC236}">
              <a16:creationId xmlns:a16="http://schemas.microsoft.com/office/drawing/2014/main" id="{78DBA5D0-D35D-4218-B03D-0C479419C05B}"/>
            </a:ext>
          </a:extLst>
        </xdr:cNvPr>
        <xdr:cNvPicPr>
          <a:picLocks noChangeAspect="1"/>
        </xdr:cNvPicPr>
      </xdr:nvPicPr>
      <xdr:blipFill>
        <a:blip xmlns:r="http://schemas.openxmlformats.org/officeDocument/2006/relationships" r:embed="rId3"/>
        <a:stretch>
          <a:fillRect/>
        </a:stretch>
      </xdr:blipFill>
      <xdr:spPr>
        <a:xfrm>
          <a:off x="593912" y="18859500"/>
          <a:ext cx="24076190" cy="88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60</xdr:col>
      <xdr:colOff>33600</xdr:colOff>
      <xdr:row>61</xdr:row>
      <xdr:rowOff>179524</xdr:rowOff>
    </xdr:to>
    <xdr:pic>
      <xdr:nvPicPr>
        <xdr:cNvPr id="2" name="Obrázok 1">
          <a:extLst>
            <a:ext uri="{FF2B5EF4-FFF2-40B4-BE49-F238E27FC236}">
              <a16:creationId xmlns:a16="http://schemas.microsoft.com/office/drawing/2014/main" id="{CD8363DE-B079-47CA-BEEE-92828ADDF2F9}"/>
            </a:ext>
          </a:extLst>
        </xdr:cNvPr>
        <xdr:cNvPicPr>
          <a:picLocks noChangeAspect="1"/>
        </xdr:cNvPicPr>
      </xdr:nvPicPr>
      <xdr:blipFill>
        <a:blip xmlns:r="http://schemas.openxmlformats.org/officeDocument/2006/relationships" r:embed="rId1"/>
        <a:stretch>
          <a:fillRect/>
        </a:stretch>
      </xdr:blipFill>
      <xdr:spPr>
        <a:xfrm>
          <a:off x="609600" y="190500"/>
          <a:ext cx="36000000" cy="11609524"/>
        </a:xfrm>
        <a:prstGeom prst="rect">
          <a:avLst/>
        </a:prstGeom>
      </xdr:spPr>
    </xdr:pic>
    <xdr:clientData/>
  </xdr:twoCellAnchor>
  <xdr:twoCellAnchor editAs="oneCell">
    <xdr:from>
      <xdr:col>1</xdr:col>
      <xdr:colOff>0</xdr:colOff>
      <xdr:row>64</xdr:row>
      <xdr:rowOff>0</xdr:rowOff>
    </xdr:from>
    <xdr:to>
      <xdr:col>40</xdr:col>
      <xdr:colOff>301790</xdr:colOff>
      <xdr:row>110</xdr:row>
      <xdr:rowOff>113190</xdr:rowOff>
    </xdr:to>
    <xdr:pic>
      <xdr:nvPicPr>
        <xdr:cNvPr id="3" name="Obrázok 2">
          <a:extLst>
            <a:ext uri="{FF2B5EF4-FFF2-40B4-BE49-F238E27FC236}">
              <a16:creationId xmlns:a16="http://schemas.microsoft.com/office/drawing/2014/main" id="{5A84F27F-F970-4057-84E0-1D0A2169814A}"/>
            </a:ext>
          </a:extLst>
        </xdr:cNvPr>
        <xdr:cNvPicPr>
          <a:picLocks noChangeAspect="1"/>
        </xdr:cNvPicPr>
      </xdr:nvPicPr>
      <xdr:blipFill>
        <a:blip xmlns:r="http://schemas.openxmlformats.org/officeDocument/2006/relationships" r:embed="rId2"/>
        <a:stretch>
          <a:fillRect/>
        </a:stretch>
      </xdr:blipFill>
      <xdr:spPr>
        <a:xfrm>
          <a:off x="609600" y="12192000"/>
          <a:ext cx="24076190" cy="8876190"/>
        </a:xfrm>
        <a:prstGeom prst="rect">
          <a:avLst/>
        </a:prstGeom>
      </xdr:spPr>
    </xdr:pic>
    <xdr:clientData/>
  </xdr:twoCellAnchor>
  <xdr:twoCellAnchor editAs="oneCell">
    <xdr:from>
      <xdr:col>1</xdr:col>
      <xdr:colOff>0</xdr:colOff>
      <xdr:row>113</xdr:row>
      <xdr:rowOff>0</xdr:rowOff>
    </xdr:from>
    <xdr:to>
      <xdr:col>40</xdr:col>
      <xdr:colOff>301790</xdr:colOff>
      <xdr:row>159</xdr:row>
      <xdr:rowOff>113190</xdr:rowOff>
    </xdr:to>
    <xdr:pic>
      <xdr:nvPicPr>
        <xdr:cNvPr id="4" name="Obrázok 3">
          <a:extLst>
            <a:ext uri="{FF2B5EF4-FFF2-40B4-BE49-F238E27FC236}">
              <a16:creationId xmlns:a16="http://schemas.microsoft.com/office/drawing/2014/main" id="{4D28994B-4B2F-4091-B115-0C2E0EBAA809}"/>
            </a:ext>
          </a:extLst>
        </xdr:cNvPr>
        <xdr:cNvPicPr>
          <a:picLocks noChangeAspect="1"/>
        </xdr:cNvPicPr>
      </xdr:nvPicPr>
      <xdr:blipFill>
        <a:blip xmlns:r="http://schemas.openxmlformats.org/officeDocument/2006/relationships" r:embed="rId3"/>
        <a:stretch>
          <a:fillRect/>
        </a:stretch>
      </xdr:blipFill>
      <xdr:spPr>
        <a:xfrm>
          <a:off x="609600" y="21526500"/>
          <a:ext cx="24076190" cy="887619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CF122EF-671E-469E-8835-C255A849A117}" name="Tabuľka1" displayName="Tabuľka1" ref="A1:E3" totalsRowShown="0" headerRowDxfId="7" tableBorderDxfId="6">
  <autoFilter ref="A1:E3" xr:uid="{05910AF4-E82C-4AEF-8357-78C4285E029E}"/>
  <tableColumns count="5">
    <tableColumn id="1" xr3:uid="{A3B47709-4436-4249-8FDC-6898A2B44DC5}" name="Názov ISVS" dataDxfId="5"/>
    <tableColumn id="2" xr3:uid="{C8B776A5-2930-4045-AAB1-2A5A3068ED97}" name="OPE - riešenie centrálneho repozitára údajov" dataDxfId="4">
      <calculatedColumnFormula>B3+B4</calculatedColumnFormula>
    </tableColumn>
    <tableColumn id="3" xr3:uid="{9D41D57F-0ABB-4C45-9EFB-45DF597A4931}" name="OPE - riešenie MDM" dataDxfId="3">
      <calculatedColumnFormula>(#REF!+#REF!)*1/3</calculatedColumnFormula>
    </tableColumn>
    <tableColumn id="4" xr3:uid="{D70CBE48-E6CD-4AB4-9EC5-E85424C3EB4C}" name="OPE - riešenie orchestrácie" dataDxfId="2">
      <calculatedColumnFormula>D3+D4</calculatedColumnFormula>
    </tableColumn>
    <tableColumn id="5" xr3:uid="{CA4E103F-BF35-42B6-9EDD-9B3A5932DCF3}" name="OPE - riešenie systému výmeny údajov" dataDxfId="1">
      <calculatedColumnFormula>E3+E4</calculatedColumnFormula>
    </tableColumn>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richard.holly@nczisk.s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6"/>
  <sheetViews>
    <sheetView view="pageLayout" zoomScaleNormal="100" workbookViewId="0">
      <selection activeCell="C28" sqref="C28:I28"/>
    </sheetView>
  </sheetViews>
  <sheetFormatPr defaultColWidth="8.85546875" defaultRowHeight="15" x14ac:dyDescent="0.25"/>
  <cols>
    <col min="2" max="2" width="11.7109375" customWidth="1"/>
    <col min="4" max="4" width="6.42578125" customWidth="1"/>
    <col min="6" max="6" width="7.7109375" customWidth="1"/>
    <col min="7" max="7" width="12.28515625" customWidth="1"/>
    <col min="8" max="8" width="6" customWidth="1"/>
    <col min="9" max="9" width="14.28515625" customWidth="1"/>
  </cols>
  <sheetData>
    <row r="1" spans="1:18" x14ac:dyDescent="0.25">
      <c r="A1" s="48"/>
      <c r="B1" s="48"/>
      <c r="C1" s="48"/>
      <c r="D1" s="48"/>
      <c r="E1" s="48"/>
      <c r="F1" s="48"/>
      <c r="G1" s="48"/>
      <c r="H1" s="48"/>
      <c r="I1" s="48"/>
      <c r="J1" s="431"/>
      <c r="K1" s="432"/>
      <c r="L1" s="432"/>
      <c r="M1" s="432"/>
      <c r="N1" s="432"/>
      <c r="O1" s="432"/>
      <c r="P1" s="432"/>
      <c r="Q1" s="432"/>
      <c r="R1" s="432"/>
    </row>
    <row r="2" spans="1:18" x14ac:dyDescent="0.25">
      <c r="A2" s="48"/>
      <c r="B2" s="48"/>
      <c r="C2" s="48"/>
      <c r="D2" s="48"/>
      <c r="E2" s="48"/>
      <c r="F2" s="48"/>
      <c r="G2" s="48"/>
      <c r="H2" s="48"/>
      <c r="I2" s="48"/>
      <c r="J2" s="432"/>
      <c r="K2" s="432"/>
      <c r="L2" s="432"/>
      <c r="M2" s="432"/>
      <c r="N2" s="432"/>
      <c r="O2" s="432"/>
      <c r="P2" s="432"/>
      <c r="Q2" s="432"/>
      <c r="R2" s="432"/>
    </row>
    <row r="3" spans="1:18" ht="15" customHeight="1" x14ac:dyDescent="0.25">
      <c r="A3" s="48"/>
      <c r="B3" s="48"/>
      <c r="C3" s="48"/>
      <c r="D3" s="48"/>
      <c r="E3" s="48"/>
      <c r="F3" s="48"/>
      <c r="G3" s="48"/>
      <c r="H3" s="48"/>
      <c r="I3" s="48"/>
      <c r="J3" s="432"/>
      <c r="K3" s="432"/>
      <c r="L3" s="432"/>
      <c r="M3" s="432"/>
      <c r="N3" s="432"/>
      <c r="O3" s="432"/>
      <c r="P3" s="432"/>
      <c r="Q3" s="432"/>
      <c r="R3" s="432"/>
    </row>
    <row r="4" spans="1:18" ht="15" customHeight="1" x14ac:dyDescent="0.25">
      <c r="A4" s="48"/>
      <c r="B4" s="48"/>
      <c r="C4" s="48"/>
      <c r="D4" s="48"/>
      <c r="E4" s="48"/>
      <c r="F4" s="48"/>
      <c r="G4" s="48"/>
      <c r="H4" s="48"/>
      <c r="I4" s="48"/>
      <c r="J4" s="432"/>
      <c r="K4" s="432"/>
      <c r="L4" s="432"/>
      <c r="M4" s="432"/>
      <c r="N4" s="432"/>
      <c r="O4" s="432"/>
      <c r="P4" s="432"/>
      <c r="Q4" s="432"/>
      <c r="R4" s="432"/>
    </row>
    <row r="5" spans="1:18" x14ac:dyDescent="0.25">
      <c r="A5" s="48"/>
      <c r="B5" s="48"/>
      <c r="C5" s="48"/>
      <c r="D5" s="48"/>
      <c r="E5" s="48"/>
      <c r="F5" s="48"/>
      <c r="G5" s="48"/>
      <c r="H5" s="48"/>
      <c r="I5" s="48"/>
      <c r="J5" s="432"/>
      <c r="K5" s="432"/>
      <c r="L5" s="432"/>
      <c r="M5" s="432"/>
      <c r="N5" s="432"/>
      <c r="O5" s="432"/>
      <c r="P5" s="432"/>
      <c r="Q5" s="432"/>
      <c r="R5" s="432"/>
    </row>
    <row r="6" spans="1:18" ht="62.1" customHeight="1" x14ac:dyDescent="0.5">
      <c r="A6" s="591" t="s">
        <v>112</v>
      </c>
      <c r="B6" s="591"/>
      <c r="C6" s="591"/>
      <c r="D6" s="591"/>
      <c r="E6" s="591"/>
      <c r="F6" s="591"/>
      <c r="G6" s="591"/>
      <c r="H6" s="591"/>
      <c r="I6" s="591"/>
      <c r="J6" s="432"/>
      <c r="K6" s="432"/>
      <c r="L6" s="432"/>
      <c r="M6" s="432"/>
      <c r="N6" s="432"/>
      <c r="O6" s="432"/>
      <c r="P6" s="432"/>
      <c r="Q6" s="432"/>
      <c r="R6" s="432"/>
    </row>
    <row r="7" spans="1:18" ht="18.75" customHeight="1" x14ac:dyDescent="0.3">
      <c r="A7" s="603" t="s">
        <v>64</v>
      </c>
      <c r="B7" s="603"/>
      <c r="C7" s="603"/>
      <c r="D7" s="603"/>
      <c r="E7" s="603"/>
      <c r="F7" s="603"/>
      <c r="G7" s="603"/>
      <c r="H7" s="603"/>
      <c r="I7" s="603"/>
      <c r="J7" s="432"/>
      <c r="K7" s="432"/>
      <c r="L7" s="432"/>
      <c r="M7" s="432"/>
      <c r="N7" s="432"/>
      <c r="O7" s="432"/>
      <c r="P7" s="432"/>
      <c r="Q7" s="432"/>
      <c r="R7" s="432"/>
    </row>
    <row r="8" spans="1:18" x14ac:dyDescent="0.25">
      <c r="A8" s="592" t="s">
        <v>59</v>
      </c>
      <c r="B8" s="592"/>
      <c r="C8" s="592"/>
      <c r="D8" s="592"/>
      <c r="E8" s="592"/>
      <c r="F8" s="592"/>
      <c r="G8" s="592"/>
      <c r="H8" s="592"/>
      <c r="I8" s="592"/>
      <c r="J8" s="432"/>
      <c r="K8" s="432"/>
      <c r="L8" s="432"/>
      <c r="M8" s="432"/>
      <c r="N8" s="432"/>
      <c r="O8" s="432"/>
      <c r="P8" s="432"/>
      <c r="Q8" s="432"/>
      <c r="R8" s="432"/>
    </row>
    <row r="9" spans="1:18" ht="15" customHeight="1" x14ac:dyDescent="0.25">
      <c r="A9" s="592"/>
      <c r="B9" s="592"/>
      <c r="C9" s="592"/>
      <c r="D9" s="592"/>
      <c r="E9" s="592"/>
      <c r="F9" s="592"/>
      <c r="G9" s="592"/>
      <c r="H9" s="592"/>
      <c r="I9" s="592"/>
      <c r="J9" s="432"/>
      <c r="K9" s="432"/>
      <c r="L9" s="432"/>
      <c r="M9" s="432"/>
      <c r="N9" s="432"/>
      <c r="O9" s="432"/>
      <c r="P9" s="432"/>
      <c r="Q9" s="432"/>
      <c r="R9" s="432"/>
    </row>
    <row r="10" spans="1:18" ht="48.6" customHeight="1" x14ac:dyDescent="0.25">
      <c r="A10" s="592"/>
      <c r="B10" s="592"/>
      <c r="C10" s="592"/>
      <c r="D10" s="592"/>
      <c r="E10" s="592"/>
      <c r="F10" s="592"/>
      <c r="G10" s="592"/>
      <c r="H10" s="592"/>
      <c r="I10" s="592"/>
      <c r="J10" s="432"/>
      <c r="K10" s="432"/>
      <c r="L10" s="432"/>
      <c r="M10" s="432"/>
      <c r="N10" s="432"/>
      <c r="O10" s="432"/>
      <c r="P10" s="432"/>
      <c r="Q10" s="432"/>
      <c r="R10" s="432"/>
    </row>
    <row r="11" spans="1:18" ht="15" customHeight="1" x14ac:dyDescent="0.25">
      <c r="A11" s="48"/>
      <c r="B11" s="48"/>
      <c r="C11" s="48"/>
      <c r="D11" s="48"/>
      <c r="E11" s="48"/>
      <c r="F11" s="48"/>
      <c r="G11" s="48"/>
      <c r="H11" s="48"/>
      <c r="I11" s="48"/>
      <c r="J11" s="432"/>
      <c r="K11" s="432"/>
      <c r="L11" s="432"/>
      <c r="M11" s="432"/>
      <c r="N11" s="432"/>
      <c r="O11" s="432"/>
      <c r="P11" s="432"/>
      <c r="Q11" s="432"/>
      <c r="R11" s="432"/>
    </row>
    <row r="12" spans="1:18" x14ac:dyDescent="0.25">
      <c r="A12" s="48"/>
      <c r="B12" s="48"/>
      <c r="C12" s="48"/>
      <c r="D12" s="48"/>
      <c r="E12" s="48"/>
      <c r="F12" s="48"/>
      <c r="G12" s="48"/>
      <c r="H12" s="48"/>
      <c r="I12" s="48"/>
      <c r="J12" s="432"/>
      <c r="K12" s="432"/>
      <c r="L12" s="432"/>
      <c r="M12" s="432"/>
      <c r="N12" s="432"/>
      <c r="O12" s="432"/>
      <c r="P12" s="432"/>
      <c r="Q12" s="432"/>
      <c r="R12" s="432"/>
    </row>
    <row r="13" spans="1:18" x14ac:dyDescent="0.25">
      <c r="A13" s="48"/>
      <c r="B13" s="48"/>
      <c r="C13" s="48"/>
      <c r="D13" s="48"/>
      <c r="E13" s="48"/>
      <c r="F13" s="48"/>
      <c r="G13" s="48"/>
      <c r="H13" s="48"/>
      <c r="I13" s="48"/>
      <c r="J13" s="432"/>
      <c r="K13" s="432"/>
      <c r="L13" s="432"/>
      <c r="M13" s="432"/>
      <c r="N13" s="432"/>
      <c r="O13" s="432"/>
      <c r="P13" s="432"/>
      <c r="Q13" s="432"/>
      <c r="R13" s="432"/>
    </row>
    <row r="14" spans="1:18" x14ac:dyDescent="0.25">
      <c r="A14" s="48"/>
      <c r="B14" s="48"/>
      <c r="C14" s="48"/>
      <c r="D14" s="48"/>
      <c r="E14" s="48"/>
      <c r="F14" s="48"/>
      <c r="G14" s="48"/>
      <c r="H14" s="48"/>
      <c r="I14" s="48"/>
      <c r="J14" s="432"/>
      <c r="K14" s="432"/>
      <c r="L14" s="432"/>
      <c r="M14" s="432"/>
      <c r="N14" s="432"/>
      <c r="O14" s="432"/>
      <c r="P14" s="432"/>
      <c r="Q14" s="432"/>
      <c r="R14" s="432"/>
    </row>
    <row r="15" spans="1:18" x14ac:dyDescent="0.25">
      <c r="A15" s="48"/>
      <c r="B15" s="48"/>
      <c r="C15" s="48"/>
      <c r="D15" s="48"/>
      <c r="E15" s="48"/>
      <c r="F15" s="48"/>
      <c r="G15" s="48"/>
      <c r="H15" s="48"/>
      <c r="I15" s="48"/>
      <c r="J15" s="432"/>
      <c r="K15" s="432"/>
      <c r="L15" s="432"/>
      <c r="M15" s="432"/>
      <c r="N15" s="432"/>
      <c r="O15" s="432"/>
      <c r="P15" s="432"/>
      <c r="Q15" s="432"/>
      <c r="R15" s="432"/>
    </row>
    <row r="16" spans="1:18" x14ac:dyDescent="0.25">
      <c r="B16" s="48"/>
      <c r="C16" s="48"/>
      <c r="D16" s="48"/>
      <c r="E16" s="48"/>
      <c r="F16" s="48"/>
      <c r="G16" s="48"/>
      <c r="H16" s="48"/>
      <c r="I16" s="48"/>
      <c r="J16" s="432"/>
      <c r="K16" s="432"/>
      <c r="L16" s="432"/>
      <c r="M16" s="432"/>
      <c r="N16" s="432"/>
      <c r="O16" s="432"/>
      <c r="P16" s="432"/>
      <c r="Q16" s="432"/>
      <c r="R16" s="432"/>
    </row>
    <row r="17" spans="1:18" x14ac:dyDescent="0.25">
      <c r="B17" s="48"/>
      <c r="C17" s="48"/>
      <c r="D17" s="48"/>
      <c r="E17" s="48"/>
      <c r="F17" s="48"/>
      <c r="G17" s="48"/>
      <c r="H17" s="48"/>
      <c r="I17" s="48"/>
      <c r="J17" s="432"/>
      <c r="K17" s="432"/>
      <c r="L17" s="432"/>
      <c r="M17" s="432"/>
      <c r="N17" s="432"/>
      <c r="O17" s="432"/>
      <c r="P17" s="432"/>
      <c r="Q17" s="432"/>
      <c r="R17" s="432"/>
    </row>
    <row r="18" spans="1:18" ht="15.75" thickBot="1" x14ac:dyDescent="0.3">
      <c r="B18" s="48"/>
      <c r="C18" s="48"/>
      <c r="D18" s="48"/>
      <c r="E18" s="48"/>
      <c r="F18" s="48"/>
      <c r="G18" s="48"/>
      <c r="H18" s="48"/>
      <c r="I18" s="48"/>
      <c r="J18" s="432"/>
      <c r="K18" s="432"/>
      <c r="L18" s="432"/>
      <c r="M18" s="432"/>
      <c r="N18" s="432"/>
      <c r="O18" s="432"/>
      <c r="P18" s="432"/>
      <c r="Q18" s="432"/>
      <c r="R18" s="432"/>
    </row>
    <row r="19" spans="1:18" ht="16.5" x14ac:dyDescent="0.25">
      <c r="A19" s="593" t="s">
        <v>113</v>
      </c>
      <c r="B19" s="594"/>
      <c r="C19" s="595" t="s">
        <v>603</v>
      </c>
      <c r="D19" s="595"/>
      <c r="E19" s="595"/>
      <c r="F19" s="595"/>
      <c r="G19" s="595"/>
      <c r="H19" s="595"/>
      <c r="I19" s="596"/>
      <c r="J19" s="432"/>
      <c r="K19" s="432"/>
      <c r="L19" s="432"/>
      <c r="M19" s="432"/>
      <c r="N19" s="432"/>
      <c r="O19" s="432"/>
      <c r="P19" s="432"/>
      <c r="Q19" s="432"/>
      <c r="R19" s="432"/>
    </row>
    <row r="20" spans="1:18" ht="16.5" x14ac:dyDescent="0.25">
      <c r="A20" s="587" t="s">
        <v>117</v>
      </c>
      <c r="B20" s="588"/>
      <c r="C20" s="589"/>
      <c r="D20" s="589"/>
      <c r="E20" s="589"/>
      <c r="F20" s="589"/>
      <c r="G20" s="589"/>
      <c r="H20" s="589"/>
      <c r="I20" s="590"/>
      <c r="J20" s="432"/>
      <c r="K20" s="432"/>
      <c r="L20" s="432"/>
      <c r="M20" s="432"/>
      <c r="N20" s="432"/>
      <c r="O20" s="432"/>
      <c r="P20" s="432"/>
      <c r="Q20" s="432"/>
      <c r="R20" s="432"/>
    </row>
    <row r="21" spans="1:18" ht="16.5" x14ac:dyDescent="0.25">
      <c r="A21" s="587" t="s">
        <v>116</v>
      </c>
      <c r="B21" s="588"/>
      <c r="C21" s="589"/>
      <c r="D21" s="589"/>
      <c r="E21" s="589"/>
      <c r="F21" s="589"/>
      <c r="G21" s="589"/>
      <c r="H21" s="589"/>
      <c r="I21" s="590"/>
      <c r="J21" s="432"/>
      <c r="K21" s="432"/>
      <c r="L21" s="432"/>
      <c r="M21" s="432"/>
      <c r="N21" s="432"/>
      <c r="O21" s="432"/>
      <c r="P21" s="432"/>
      <c r="Q21" s="432"/>
      <c r="R21" s="432"/>
    </row>
    <row r="22" spans="1:18" ht="14.45" customHeight="1" x14ac:dyDescent="0.25">
      <c r="A22" s="587" t="s">
        <v>50</v>
      </c>
      <c r="B22" s="588"/>
      <c r="C22" s="589" t="s">
        <v>604</v>
      </c>
      <c r="D22" s="589"/>
      <c r="E22" s="589"/>
      <c r="F22" s="589"/>
      <c r="G22" s="589"/>
      <c r="H22" s="589"/>
      <c r="I22" s="590"/>
      <c r="J22" s="432"/>
      <c r="K22" s="432"/>
      <c r="L22" s="432"/>
      <c r="M22" s="432"/>
      <c r="N22" s="432"/>
      <c r="O22" s="432"/>
      <c r="P22" s="432"/>
      <c r="Q22" s="432"/>
      <c r="R22" s="432"/>
    </row>
    <row r="23" spans="1:18" ht="16.5" x14ac:dyDescent="0.25">
      <c r="A23" s="587" t="s">
        <v>51</v>
      </c>
      <c r="B23" s="588"/>
      <c r="C23" s="589"/>
      <c r="D23" s="589"/>
      <c r="E23" s="589"/>
      <c r="F23" s="589"/>
      <c r="G23" s="589"/>
      <c r="H23" s="589"/>
      <c r="I23" s="590"/>
      <c r="J23" s="432"/>
      <c r="K23" s="432"/>
      <c r="L23" s="432"/>
      <c r="M23" s="432"/>
      <c r="N23" s="432"/>
      <c r="O23" s="432"/>
      <c r="P23" s="432"/>
      <c r="Q23" s="432"/>
      <c r="R23" s="432"/>
    </row>
    <row r="24" spans="1:18" ht="16.5" x14ac:dyDescent="0.25">
      <c r="A24" s="587" t="s">
        <v>52</v>
      </c>
      <c r="B24" s="588"/>
      <c r="C24" s="589"/>
      <c r="D24" s="589"/>
      <c r="E24" s="589"/>
      <c r="F24" s="589"/>
      <c r="G24" s="589"/>
      <c r="H24" s="589"/>
      <c r="I24" s="590"/>
      <c r="J24" s="432"/>
      <c r="K24" s="432"/>
      <c r="L24" s="432"/>
      <c r="M24" s="432"/>
      <c r="N24" s="432"/>
      <c r="O24" s="432"/>
      <c r="P24" s="432"/>
      <c r="Q24" s="432"/>
      <c r="R24" s="432"/>
    </row>
    <row r="25" spans="1:18" ht="16.5" x14ac:dyDescent="0.25">
      <c r="A25" s="587" t="s">
        <v>53</v>
      </c>
      <c r="B25" s="588"/>
      <c r="C25" s="589"/>
      <c r="D25" s="589"/>
      <c r="E25" s="589"/>
      <c r="F25" s="589"/>
      <c r="G25" s="589"/>
      <c r="H25" s="589"/>
      <c r="I25" s="590"/>
      <c r="J25" s="432"/>
      <c r="K25" s="432"/>
      <c r="L25" s="432"/>
      <c r="M25" s="432"/>
      <c r="N25" s="432"/>
      <c r="O25" s="432"/>
      <c r="P25" s="432"/>
      <c r="Q25" s="432"/>
      <c r="R25" s="432"/>
    </row>
    <row r="26" spans="1:18" ht="16.5" x14ac:dyDescent="0.25">
      <c r="A26" s="587" t="s">
        <v>54</v>
      </c>
      <c r="B26" s="588"/>
      <c r="C26" s="589"/>
      <c r="D26" s="589"/>
      <c r="E26" s="589"/>
      <c r="F26" s="589"/>
      <c r="G26" s="589"/>
      <c r="H26" s="589"/>
      <c r="I26" s="590"/>
      <c r="J26" s="432"/>
      <c r="K26" s="432"/>
      <c r="L26" s="432"/>
      <c r="M26" s="432"/>
      <c r="N26" s="432"/>
      <c r="O26" s="432"/>
      <c r="P26" s="432"/>
      <c r="Q26" s="432"/>
      <c r="R26" s="432"/>
    </row>
    <row r="27" spans="1:18" ht="19.350000000000001" customHeight="1" x14ac:dyDescent="0.25">
      <c r="A27" s="587" t="s">
        <v>55</v>
      </c>
      <c r="B27" s="588"/>
      <c r="C27" s="604" t="s">
        <v>254</v>
      </c>
      <c r="D27" s="604"/>
      <c r="E27" s="604"/>
      <c r="F27" s="604"/>
      <c r="G27" s="604"/>
      <c r="H27" s="604"/>
      <c r="I27" s="605"/>
      <c r="J27" s="432"/>
      <c r="K27" s="432"/>
      <c r="L27" s="432"/>
      <c r="M27" s="432"/>
      <c r="N27" s="432"/>
      <c r="O27" s="432"/>
      <c r="P27" s="432"/>
      <c r="Q27" s="432"/>
      <c r="R27" s="432"/>
    </row>
    <row r="28" spans="1:18" ht="33" customHeight="1" thickBot="1" x14ac:dyDescent="0.3">
      <c r="A28" s="606" t="s">
        <v>56</v>
      </c>
      <c r="B28" s="607"/>
      <c r="C28" s="608" t="s">
        <v>255</v>
      </c>
      <c r="D28" s="609"/>
      <c r="E28" s="609"/>
      <c r="F28" s="609"/>
      <c r="G28" s="609"/>
      <c r="H28" s="609"/>
      <c r="I28" s="610"/>
      <c r="J28" s="432"/>
      <c r="K28" s="432"/>
      <c r="L28" s="432"/>
      <c r="M28" s="432"/>
      <c r="N28" s="432"/>
      <c r="O28" s="432"/>
      <c r="P28" s="432"/>
      <c r="Q28" s="432"/>
      <c r="R28" s="432"/>
    </row>
    <row r="29" spans="1:18" x14ac:dyDescent="0.25">
      <c r="A29" s="48"/>
      <c r="B29" s="48"/>
      <c r="C29" s="48"/>
      <c r="D29" s="48"/>
      <c r="E29" s="48"/>
      <c r="F29" s="48"/>
      <c r="G29" s="48"/>
      <c r="H29" s="48"/>
      <c r="I29" s="48"/>
      <c r="J29" s="432"/>
      <c r="K29" s="432"/>
      <c r="L29" s="432"/>
      <c r="M29" s="432"/>
      <c r="N29" s="432"/>
      <c r="O29" s="432"/>
      <c r="P29" s="432"/>
      <c r="Q29" s="432"/>
      <c r="R29" s="432"/>
    </row>
    <row r="30" spans="1:18" ht="15.75" thickBot="1" x14ac:dyDescent="0.3">
      <c r="A30" s="611" t="s">
        <v>60</v>
      </c>
      <c r="B30" s="611"/>
      <c r="C30" s="611"/>
      <c r="D30" s="611"/>
      <c r="E30" s="611"/>
      <c r="F30" s="611"/>
      <c r="G30" s="611"/>
      <c r="H30" s="611"/>
      <c r="I30" s="611"/>
      <c r="J30" s="432"/>
      <c r="K30" s="432"/>
      <c r="L30" s="432"/>
      <c r="M30" s="432"/>
      <c r="N30" s="432"/>
      <c r="O30" s="432"/>
      <c r="P30" s="432"/>
      <c r="Q30" s="432"/>
      <c r="R30" s="432"/>
    </row>
    <row r="31" spans="1:18" ht="14.45" customHeight="1" x14ac:dyDescent="0.25">
      <c r="A31" s="612" t="s">
        <v>57</v>
      </c>
      <c r="B31" s="613"/>
      <c r="C31" s="597" t="s">
        <v>58</v>
      </c>
      <c r="D31" s="597"/>
      <c r="E31" s="617" t="s">
        <v>61</v>
      </c>
      <c r="F31" s="617"/>
      <c r="G31" s="599" t="s">
        <v>62</v>
      </c>
      <c r="H31" s="599"/>
      <c r="I31" s="601" t="s">
        <v>63</v>
      </c>
      <c r="J31" s="432"/>
      <c r="K31" s="432"/>
      <c r="L31" s="432"/>
      <c r="M31" s="432"/>
      <c r="N31" s="432"/>
      <c r="O31" s="432"/>
      <c r="P31" s="432"/>
      <c r="Q31" s="432"/>
      <c r="R31" s="432"/>
    </row>
    <row r="32" spans="1:18" ht="15.75" thickBot="1" x14ac:dyDescent="0.3">
      <c r="A32" s="614"/>
      <c r="B32" s="615"/>
      <c r="C32" s="616"/>
      <c r="D32" s="616"/>
      <c r="E32" s="618"/>
      <c r="F32" s="618"/>
      <c r="G32" s="600"/>
      <c r="H32" s="600"/>
      <c r="I32" s="602"/>
      <c r="J32" s="432"/>
      <c r="K32" s="432"/>
      <c r="L32" s="432"/>
      <c r="M32" s="432"/>
      <c r="N32" s="432"/>
      <c r="O32" s="432"/>
      <c r="P32" s="432"/>
      <c r="Q32" s="432"/>
      <c r="R32" s="432"/>
    </row>
    <row r="33" spans="1:18" x14ac:dyDescent="0.25">
      <c r="A33" s="597"/>
      <c r="B33" s="597"/>
      <c r="C33" s="597"/>
      <c r="D33" s="597"/>
      <c r="E33" s="597"/>
      <c r="F33" s="597"/>
      <c r="G33" s="597"/>
      <c r="H33" s="597"/>
      <c r="I33" s="597"/>
      <c r="J33" s="432"/>
      <c r="K33" s="432"/>
      <c r="L33" s="432"/>
      <c r="M33" s="432"/>
      <c r="N33" s="432"/>
      <c r="O33" s="432"/>
      <c r="P33" s="432"/>
      <c r="Q33" s="432"/>
      <c r="R33" s="432"/>
    </row>
    <row r="34" spans="1:18" x14ac:dyDescent="0.25">
      <c r="A34" s="598"/>
      <c r="B34" s="598"/>
      <c r="C34" s="598"/>
      <c r="D34" s="598"/>
      <c r="E34" s="598"/>
      <c r="F34" s="598"/>
      <c r="G34" s="598"/>
      <c r="H34" s="598"/>
      <c r="I34" s="598"/>
      <c r="J34" s="432"/>
      <c r="K34" s="432"/>
      <c r="L34" s="432"/>
      <c r="M34" s="432"/>
      <c r="N34" s="432"/>
      <c r="O34" s="432"/>
      <c r="P34" s="432"/>
      <c r="Q34" s="432"/>
      <c r="R34" s="432"/>
    </row>
    <row r="35" spans="1:18" x14ac:dyDescent="0.25">
      <c r="A35" s="598"/>
      <c r="B35" s="598"/>
      <c r="C35" s="598"/>
      <c r="D35" s="598"/>
      <c r="E35" s="598"/>
      <c r="F35" s="598"/>
      <c r="G35" s="598"/>
      <c r="H35" s="598"/>
      <c r="I35" s="598"/>
      <c r="J35" s="432"/>
      <c r="K35" s="432"/>
      <c r="L35" s="432"/>
      <c r="M35" s="432"/>
      <c r="N35" s="432"/>
      <c r="O35" s="432"/>
      <c r="P35" s="432"/>
      <c r="Q35" s="432"/>
      <c r="R35" s="432"/>
    </row>
    <row r="36" spans="1:18" x14ac:dyDescent="0.25">
      <c r="A36" s="95"/>
      <c r="B36" s="95"/>
      <c r="C36" s="48"/>
      <c r="D36" s="48"/>
      <c r="E36" s="48"/>
      <c r="F36" s="48"/>
      <c r="G36" s="48"/>
      <c r="H36" s="48"/>
      <c r="I36" s="48"/>
      <c r="J36" s="432"/>
      <c r="K36" s="432"/>
      <c r="L36" s="432"/>
      <c r="M36" s="432"/>
      <c r="N36" s="432"/>
      <c r="O36" s="432"/>
      <c r="P36" s="432"/>
      <c r="Q36" s="432"/>
      <c r="R36" s="432"/>
    </row>
    <row r="37" spans="1:18" x14ac:dyDescent="0.25">
      <c r="A37" s="48"/>
      <c r="B37" s="48"/>
      <c r="C37" s="48"/>
      <c r="D37" s="48"/>
      <c r="E37" s="48"/>
      <c r="F37" s="48"/>
      <c r="G37" s="48"/>
      <c r="H37" s="48"/>
      <c r="I37" s="48"/>
      <c r="J37" s="432"/>
      <c r="K37" s="432"/>
      <c r="L37" s="432"/>
      <c r="M37" s="432"/>
      <c r="N37" s="432"/>
      <c r="O37" s="432"/>
      <c r="P37" s="432"/>
      <c r="Q37" s="432"/>
      <c r="R37" s="432"/>
    </row>
    <row r="38" spans="1:18" x14ac:dyDescent="0.25">
      <c r="A38" s="48"/>
      <c r="B38" s="48"/>
      <c r="C38" s="48"/>
      <c r="D38" s="48"/>
      <c r="E38" s="48"/>
      <c r="F38" s="48"/>
      <c r="G38" s="48"/>
      <c r="H38" s="48"/>
      <c r="I38" s="48"/>
      <c r="J38" s="432"/>
      <c r="K38" s="432"/>
      <c r="L38" s="432"/>
      <c r="M38" s="432"/>
      <c r="N38" s="432"/>
      <c r="O38" s="432"/>
      <c r="P38" s="432"/>
      <c r="Q38" s="432"/>
      <c r="R38" s="432"/>
    </row>
    <row r="39" spans="1:18" x14ac:dyDescent="0.25">
      <c r="A39" s="48"/>
      <c r="B39" s="48"/>
      <c r="C39" s="48"/>
      <c r="D39" s="48"/>
      <c r="E39" s="48"/>
      <c r="F39" s="48"/>
      <c r="G39" s="48"/>
      <c r="H39" s="48"/>
      <c r="I39" s="48"/>
      <c r="J39" s="432"/>
      <c r="K39" s="432"/>
      <c r="L39" s="432"/>
      <c r="M39" s="432"/>
      <c r="N39" s="432"/>
      <c r="O39" s="432"/>
      <c r="P39" s="432"/>
      <c r="Q39" s="432"/>
      <c r="R39" s="432"/>
    </row>
    <row r="40" spans="1:18" x14ac:dyDescent="0.25">
      <c r="A40" s="48"/>
      <c r="B40" s="48"/>
      <c r="C40" s="48"/>
      <c r="D40" s="48"/>
      <c r="E40" s="48"/>
      <c r="F40" s="48"/>
      <c r="G40" s="48"/>
      <c r="H40" s="48"/>
      <c r="I40" s="48"/>
      <c r="J40" s="432"/>
      <c r="K40" s="432"/>
      <c r="L40" s="432"/>
      <c r="M40" s="432"/>
      <c r="N40" s="432"/>
      <c r="O40" s="432"/>
      <c r="P40" s="432"/>
      <c r="Q40" s="432"/>
      <c r="R40" s="432"/>
    </row>
    <row r="41" spans="1:18" x14ac:dyDescent="0.25">
      <c r="A41" s="48"/>
      <c r="B41" s="48"/>
      <c r="C41" s="48"/>
      <c r="D41" s="48"/>
      <c r="E41" s="48"/>
      <c r="F41" s="48"/>
      <c r="G41" s="48"/>
      <c r="H41" s="48"/>
      <c r="I41" s="48"/>
      <c r="J41" s="432"/>
      <c r="K41" s="432"/>
      <c r="L41" s="432"/>
      <c r="M41" s="432"/>
      <c r="N41" s="432"/>
      <c r="O41" s="432"/>
      <c r="P41" s="432"/>
      <c r="Q41" s="432"/>
      <c r="R41" s="432"/>
    </row>
    <row r="42" spans="1:18" x14ac:dyDescent="0.25">
      <c r="A42" s="48"/>
      <c r="B42" s="48"/>
      <c r="C42" s="48"/>
      <c r="D42" s="48"/>
      <c r="E42" s="48"/>
      <c r="F42" s="48"/>
      <c r="G42" s="48"/>
      <c r="H42" s="48"/>
      <c r="I42" s="48"/>
      <c r="J42" s="432"/>
      <c r="K42" s="432"/>
      <c r="L42" s="432"/>
      <c r="M42" s="432"/>
      <c r="N42" s="432"/>
      <c r="O42" s="432"/>
      <c r="P42" s="432"/>
      <c r="Q42" s="432"/>
      <c r="R42" s="432"/>
    </row>
    <row r="43" spans="1:18" x14ac:dyDescent="0.25">
      <c r="A43" s="48"/>
      <c r="B43" s="48"/>
      <c r="C43" s="48"/>
      <c r="D43" s="48"/>
      <c r="E43" s="48"/>
      <c r="F43" s="48"/>
      <c r="G43" s="48"/>
      <c r="H43" s="48"/>
      <c r="I43" s="48"/>
    </row>
    <row r="44" spans="1:18" x14ac:dyDescent="0.25">
      <c r="A44" s="48"/>
      <c r="B44" s="48"/>
      <c r="C44" s="48"/>
      <c r="D44" s="48"/>
      <c r="E44" s="48"/>
      <c r="F44" s="48"/>
      <c r="G44" s="48"/>
      <c r="H44" s="48"/>
      <c r="I44" s="48"/>
    </row>
    <row r="45" spans="1:18" x14ac:dyDescent="0.25">
      <c r="A45" s="48"/>
      <c r="B45" s="48"/>
      <c r="C45" s="48"/>
      <c r="D45" s="48"/>
      <c r="E45" s="48"/>
      <c r="F45" s="48"/>
      <c r="G45" s="48"/>
      <c r="H45" s="48"/>
      <c r="I45" s="48"/>
    </row>
    <row r="46" spans="1:18" x14ac:dyDescent="0.25">
      <c r="A46" s="48"/>
      <c r="B46" s="48"/>
      <c r="C46" s="48"/>
      <c r="D46" s="48"/>
      <c r="E46" s="48"/>
      <c r="F46" s="48"/>
      <c r="G46" s="48"/>
      <c r="H46" s="48"/>
      <c r="I46" s="48"/>
    </row>
  </sheetData>
  <mergeCells count="30">
    <mergeCell ref="A33:I35"/>
    <mergeCell ref="G31:H32"/>
    <mergeCell ref="I31:I32"/>
    <mergeCell ref="A7:I7"/>
    <mergeCell ref="A27:B27"/>
    <mergeCell ref="C27:I27"/>
    <mergeCell ref="A28:B28"/>
    <mergeCell ref="C28:I28"/>
    <mergeCell ref="A30:I30"/>
    <mergeCell ref="A31:B32"/>
    <mergeCell ref="C31:D32"/>
    <mergeCell ref="E31:F32"/>
    <mergeCell ref="A24:B24"/>
    <mergeCell ref="C24:I24"/>
    <mergeCell ref="A25:B25"/>
    <mergeCell ref="C25:I25"/>
    <mergeCell ref="A26:B26"/>
    <mergeCell ref="C26:I26"/>
    <mergeCell ref="A6:I6"/>
    <mergeCell ref="A8:I10"/>
    <mergeCell ref="A22:B22"/>
    <mergeCell ref="C22:I22"/>
    <mergeCell ref="A23:B23"/>
    <mergeCell ref="C23:I23"/>
    <mergeCell ref="A19:B19"/>
    <mergeCell ref="C19:I19"/>
    <mergeCell ref="A20:B20"/>
    <mergeCell ref="C20:I20"/>
    <mergeCell ref="A21:B21"/>
    <mergeCell ref="C21:I21"/>
  </mergeCells>
  <hyperlinks>
    <hyperlink ref="C28" r:id="rId1" xr:uid="{673CD274-F4B3-4B68-B3EC-5CE7C0C149CA}"/>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G128"/>
  <sheetViews>
    <sheetView topLeftCell="A49" zoomScaleNormal="100" workbookViewId="0">
      <selection activeCell="E79" sqref="E79"/>
    </sheetView>
  </sheetViews>
  <sheetFormatPr defaultColWidth="8.85546875" defaultRowHeight="15" outlineLevelRow="2" outlineLevelCol="1" x14ac:dyDescent="0.25"/>
  <cols>
    <col min="1" max="1" width="22.42578125" customWidth="1"/>
    <col min="2" max="2" width="23.28515625" customWidth="1"/>
    <col min="3" max="3" width="22.42578125" customWidth="1"/>
    <col min="5" max="5" width="17.85546875" customWidth="1"/>
    <col min="6" max="7" width="19.28515625" customWidth="1" outlineLevel="1"/>
  </cols>
  <sheetData>
    <row r="1" spans="1:7" ht="25.35" customHeight="1" thickBot="1" x14ac:dyDescent="0.4">
      <c r="A1" s="676" t="s">
        <v>98</v>
      </c>
      <c r="B1" s="676"/>
      <c r="C1" s="676"/>
      <c r="D1" s="677"/>
      <c r="E1" s="82" t="s">
        <v>36</v>
      </c>
      <c r="F1" s="412" t="s">
        <v>356</v>
      </c>
      <c r="G1" s="412" t="s">
        <v>355</v>
      </c>
    </row>
    <row r="2" spans="1:7" ht="15.75" thickBot="1" x14ac:dyDescent="0.3">
      <c r="A2" s="52" t="s">
        <v>0</v>
      </c>
      <c r="B2" s="87" t="s">
        <v>74</v>
      </c>
      <c r="C2" s="87" t="s">
        <v>73</v>
      </c>
      <c r="D2" s="87" t="s">
        <v>22</v>
      </c>
      <c r="E2" s="25"/>
      <c r="F2" s="25"/>
      <c r="G2" s="25"/>
    </row>
    <row r="3" spans="1:7" ht="15.75" thickBot="1" x14ac:dyDescent="0.3">
      <c r="A3" s="678" t="s">
        <v>118</v>
      </c>
      <c r="B3" s="679"/>
      <c r="C3" s="679"/>
      <c r="D3" s="91"/>
      <c r="E3" s="89">
        <f>E4+E25</f>
        <v>0</v>
      </c>
      <c r="F3" s="90">
        <f>F4+F25</f>
        <v>0</v>
      </c>
      <c r="G3" s="90">
        <f>G4+G25</f>
        <v>0</v>
      </c>
    </row>
    <row r="4" spans="1:7" ht="15.75" outlineLevel="1" thickBot="1" x14ac:dyDescent="0.3">
      <c r="A4" s="25" t="s">
        <v>105</v>
      </c>
      <c r="B4" s="25"/>
      <c r="C4" s="25"/>
      <c r="D4" s="36"/>
      <c r="E4" s="89">
        <f>SUM(E5:E24)</f>
        <v>0</v>
      </c>
      <c r="F4" s="90">
        <f>SUM(F5:F24)</f>
        <v>0</v>
      </c>
      <c r="G4" s="90">
        <f>SUM(G5:G24)</f>
        <v>0</v>
      </c>
    </row>
    <row r="5" spans="1:7" outlineLevel="2" x14ac:dyDescent="0.25">
      <c r="A5" s="672" t="s">
        <v>71</v>
      </c>
      <c r="B5" s="673" t="s">
        <v>72</v>
      </c>
      <c r="C5" s="673">
        <v>711003</v>
      </c>
      <c r="D5" s="79" t="s">
        <v>26</v>
      </c>
      <c r="E5" s="76">
        <f>SUM(F5:G5)</f>
        <v>0</v>
      </c>
      <c r="F5" s="138">
        <v>0</v>
      </c>
      <c r="G5" s="138">
        <v>0</v>
      </c>
    </row>
    <row r="6" spans="1:7" outlineLevel="2" x14ac:dyDescent="0.25">
      <c r="A6" s="672"/>
      <c r="B6" s="673"/>
      <c r="C6" s="673"/>
      <c r="D6" s="80" t="s">
        <v>27</v>
      </c>
      <c r="E6" s="77">
        <f t="shared" ref="E6:E24" si="0">SUM(F6:G6)</f>
        <v>0</v>
      </c>
      <c r="F6" s="140">
        <v>0</v>
      </c>
      <c r="G6" s="140">
        <v>0</v>
      </c>
    </row>
    <row r="7" spans="1:7" outlineLevel="2" x14ac:dyDescent="0.25">
      <c r="A7" s="672"/>
      <c r="B7" s="673"/>
      <c r="C7" s="673"/>
      <c r="D7" s="80" t="s">
        <v>28</v>
      </c>
      <c r="E7" s="77">
        <f t="shared" si="0"/>
        <v>0</v>
      </c>
      <c r="F7" s="140">
        <v>0</v>
      </c>
      <c r="G7" s="140">
        <v>0</v>
      </c>
    </row>
    <row r="8" spans="1:7" outlineLevel="2" x14ac:dyDescent="0.25">
      <c r="A8" s="672"/>
      <c r="B8" s="673"/>
      <c r="C8" s="673"/>
      <c r="D8" s="80" t="s">
        <v>29</v>
      </c>
      <c r="E8" s="77">
        <f t="shared" si="0"/>
        <v>0</v>
      </c>
      <c r="F8" s="140">
        <v>0</v>
      </c>
      <c r="G8" s="140">
        <v>0</v>
      </c>
    </row>
    <row r="9" spans="1:7" outlineLevel="2" x14ac:dyDescent="0.25">
      <c r="A9" s="672"/>
      <c r="B9" s="673"/>
      <c r="C9" s="673"/>
      <c r="D9" s="80" t="s">
        <v>30</v>
      </c>
      <c r="E9" s="77">
        <f t="shared" si="0"/>
        <v>0</v>
      </c>
      <c r="F9" s="140">
        <v>0</v>
      </c>
      <c r="G9" s="140">
        <v>0</v>
      </c>
    </row>
    <row r="10" spans="1:7" outlineLevel="2" x14ac:dyDescent="0.25">
      <c r="A10" s="672"/>
      <c r="B10" s="673"/>
      <c r="C10" s="673"/>
      <c r="D10" s="80" t="s">
        <v>31</v>
      </c>
      <c r="E10" s="77">
        <f t="shared" si="0"/>
        <v>0</v>
      </c>
      <c r="F10" s="140">
        <v>0</v>
      </c>
      <c r="G10" s="140">
        <v>0</v>
      </c>
    </row>
    <row r="11" spans="1:7" outlineLevel="2" x14ac:dyDescent="0.25">
      <c r="A11" s="672"/>
      <c r="B11" s="673"/>
      <c r="C11" s="673"/>
      <c r="D11" s="80" t="s">
        <v>32</v>
      </c>
      <c r="E11" s="77">
        <f t="shared" si="0"/>
        <v>0</v>
      </c>
      <c r="F11" s="140">
        <v>0</v>
      </c>
      <c r="G11" s="140">
        <v>0</v>
      </c>
    </row>
    <row r="12" spans="1:7" outlineLevel="2" x14ac:dyDescent="0.25">
      <c r="A12" s="672"/>
      <c r="B12" s="673"/>
      <c r="C12" s="673"/>
      <c r="D12" s="80" t="s">
        <v>33</v>
      </c>
      <c r="E12" s="77">
        <f t="shared" si="0"/>
        <v>0</v>
      </c>
      <c r="F12" s="140">
        <v>0</v>
      </c>
      <c r="G12" s="140">
        <v>0</v>
      </c>
    </row>
    <row r="13" spans="1:7" outlineLevel="2" x14ac:dyDescent="0.25">
      <c r="A13" s="672"/>
      <c r="B13" s="673"/>
      <c r="C13" s="673"/>
      <c r="D13" s="80" t="s">
        <v>34</v>
      </c>
      <c r="E13" s="77">
        <f t="shared" si="0"/>
        <v>0</v>
      </c>
      <c r="F13" s="140">
        <v>0</v>
      </c>
      <c r="G13" s="140">
        <v>0</v>
      </c>
    </row>
    <row r="14" spans="1:7" ht="15.75" outlineLevel="2" thickBot="1" x14ac:dyDescent="0.3">
      <c r="A14" s="672"/>
      <c r="B14" s="673"/>
      <c r="C14" s="673"/>
      <c r="D14" s="81" t="s">
        <v>35</v>
      </c>
      <c r="E14" s="78">
        <f t="shared" si="0"/>
        <v>0</v>
      </c>
      <c r="F14" s="142">
        <v>0</v>
      </c>
      <c r="G14" s="142">
        <v>0</v>
      </c>
    </row>
    <row r="15" spans="1:7" outlineLevel="2" x14ac:dyDescent="0.25">
      <c r="A15" s="672" t="s">
        <v>71</v>
      </c>
      <c r="B15" s="673" t="s">
        <v>77</v>
      </c>
      <c r="C15" s="673">
        <v>633013</v>
      </c>
      <c r="D15" s="79" t="s">
        <v>26</v>
      </c>
      <c r="E15" s="76">
        <f t="shared" si="0"/>
        <v>0</v>
      </c>
      <c r="F15" s="138">
        <v>0</v>
      </c>
      <c r="G15" s="138">
        <v>0</v>
      </c>
    </row>
    <row r="16" spans="1:7" outlineLevel="2" x14ac:dyDescent="0.25">
      <c r="A16" s="672"/>
      <c r="B16" s="673"/>
      <c r="C16" s="673"/>
      <c r="D16" s="80" t="s">
        <v>27</v>
      </c>
      <c r="E16" s="77">
        <f t="shared" si="0"/>
        <v>0</v>
      </c>
      <c r="F16" s="140">
        <v>0</v>
      </c>
      <c r="G16" s="140">
        <v>0</v>
      </c>
    </row>
    <row r="17" spans="1:7" outlineLevel="2" x14ac:dyDescent="0.25">
      <c r="A17" s="672"/>
      <c r="B17" s="673"/>
      <c r="C17" s="673"/>
      <c r="D17" s="80" t="s">
        <v>28</v>
      </c>
      <c r="E17" s="77">
        <f t="shared" si="0"/>
        <v>0</v>
      </c>
      <c r="F17" s="140">
        <v>0</v>
      </c>
      <c r="G17" s="140">
        <v>0</v>
      </c>
    </row>
    <row r="18" spans="1:7" outlineLevel="2" x14ac:dyDescent="0.25">
      <c r="A18" s="672"/>
      <c r="B18" s="673"/>
      <c r="C18" s="673"/>
      <c r="D18" s="80" t="s">
        <v>29</v>
      </c>
      <c r="E18" s="77">
        <f t="shared" si="0"/>
        <v>0</v>
      </c>
      <c r="F18" s="140">
        <v>0</v>
      </c>
      <c r="G18" s="140">
        <v>0</v>
      </c>
    </row>
    <row r="19" spans="1:7" outlineLevel="2" x14ac:dyDescent="0.25">
      <c r="A19" s="672"/>
      <c r="B19" s="673"/>
      <c r="C19" s="673"/>
      <c r="D19" s="80" t="s">
        <v>30</v>
      </c>
      <c r="E19" s="77">
        <f t="shared" si="0"/>
        <v>0</v>
      </c>
      <c r="F19" s="140">
        <v>0</v>
      </c>
      <c r="G19" s="140">
        <v>0</v>
      </c>
    </row>
    <row r="20" spans="1:7" outlineLevel="2" x14ac:dyDescent="0.25">
      <c r="A20" s="672"/>
      <c r="B20" s="673"/>
      <c r="C20" s="673"/>
      <c r="D20" s="80" t="s">
        <v>31</v>
      </c>
      <c r="E20" s="77">
        <f t="shared" si="0"/>
        <v>0</v>
      </c>
      <c r="F20" s="140">
        <v>0</v>
      </c>
      <c r="G20" s="140">
        <v>0</v>
      </c>
    </row>
    <row r="21" spans="1:7" outlineLevel="2" x14ac:dyDescent="0.25">
      <c r="A21" s="672"/>
      <c r="B21" s="673"/>
      <c r="C21" s="673"/>
      <c r="D21" s="80" t="s">
        <v>32</v>
      </c>
      <c r="E21" s="77">
        <f t="shared" si="0"/>
        <v>0</v>
      </c>
      <c r="F21" s="140">
        <v>0</v>
      </c>
      <c r="G21" s="140">
        <v>0</v>
      </c>
    </row>
    <row r="22" spans="1:7" outlineLevel="2" x14ac:dyDescent="0.25">
      <c r="A22" s="672"/>
      <c r="B22" s="673"/>
      <c r="C22" s="673"/>
      <c r="D22" s="80" t="s">
        <v>33</v>
      </c>
      <c r="E22" s="77">
        <f t="shared" si="0"/>
        <v>0</v>
      </c>
      <c r="F22" s="140">
        <v>0</v>
      </c>
      <c r="G22" s="140">
        <v>0</v>
      </c>
    </row>
    <row r="23" spans="1:7" outlineLevel="2" x14ac:dyDescent="0.25">
      <c r="A23" s="672"/>
      <c r="B23" s="673"/>
      <c r="C23" s="673"/>
      <c r="D23" s="80" t="s">
        <v>34</v>
      </c>
      <c r="E23" s="77">
        <f t="shared" si="0"/>
        <v>0</v>
      </c>
      <c r="F23" s="140">
        <v>0</v>
      </c>
      <c r="G23" s="140">
        <v>0</v>
      </c>
    </row>
    <row r="24" spans="1:7" ht="15.75" outlineLevel="2" thickBot="1" x14ac:dyDescent="0.3">
      <c r="A24" s="672"/>
      <c r="B24" s="673"/>
      <c r="C24" s="673"/>
      <c r="D24" s="81" t="s">
        <v>35</v>
      </c>
      <c r="E24" s="78">
        <f t="shared" si="0"/>
        <v>0</v>
      </c>
      <c r="F24" s="142">
        <v>0</v>
      </c>
      <c r="G24" s="142">
        <v>0</v>
      </c>
    </row>
    <row r="25" spans="1:7" ht="15.75" outlineLevel="1" thickBot="1" x14ac:dyDescent="0.3">
      <c r="A25" s="25" t="s">
        <v>106</v>
      </c>
      <c r="B25" s="25"/>
      <c r="C25" s="25"/>
      <c r="D25" s="36"/>
      <c r="E25" s="148">
        <f>SUM(E26:E55)</f>
        <v>0</v>
      </c>
      <c r="F25" s="149">
        <f>SUM(F26:F55)</f>
        <v>0</v>
      </c>
      <c r="G25" s="149">
        <f>SUM(G26:G55)</f>
        <v>0</v>
      </c>
    </row>
    <row r="26" spans="1:7" outlineLevel="2" x14ac:dyDescent="0.25">
      <c r="A26" s="672" t="s">
        <v>75</v>
      </c>
      <c r="B26" s="673" t="s">
        <v>72</v>
      </c>
      <c r="C26" s="673">
        <v>711003</v>
      </c>
      <c r="D26" s="79" t="s">
        <v>26</v>
      </c>
      <c r="E26" s="76">
        <f>SUM(F26:G26)</f>
        <v>0</v>
      </c>
      <c r="F26" s="132">
        <v>0</v>
      </c>
      <c r="G26" s="132">
        <v>0</v>
      </c>
    </row>
    <row r="27" spans="1:7" outlineLevel="2" x14ac:dyDescent="0.25">
      <c r="A27" s="672"/>
      <c r="B27" s="673"/>
      <c r="C27" s="673"/>
      <c r="D27" s="80" t="s">
        <v>27</v>
      </c>
      <c r="E27" s="77">
        <f>SUM(F27:G27)</f>
        <v>0</v>
      </c>
      <c r="F27" s="134">
        <v>0</v>
      </c>
      <c r="G27" s="134">
        <v>0</v>
      </c>
    </row>
    <row r="28" spans="1:7" outlineLevel="2" x14ac:dyDescent="0.25">
      <c r="A28" s="672"/>
      <c r="B28" s="673"/>
      <c r="C28" s="673"/>
      <c r="D28" s="80" t="s">
        <v>28</v>
      </c>
      <c r="E28" s="77">
        <f t="shared" ref="E28:E35" si="1">SUM(F28:G28)</f>
        <v>0</v>
      </c>
      <c r="F28" s="134">
        <v>0</v>
      </c>
      <c r="G28" s="134">
        <v>0</v>
      </c>
    </row>
    <row r="29" spans="1:7" outlineLevel="2" x14ac:dyDescent="0.25">
      <c r="A29" s="672"/>
      <c r="B29" s="673"/>
      <c r="C29" s="673"/>
      <c r="D29" s="80" t="s">
        <v>29</v>
      </c>
      <c r="E29" s="77">
        <f t="shared" si="1"/>
        <v>0</v>
      </c>
      <c r="F29" s="134">
        <v>0</v>
      </c>
      <c r="G29" s="134">
        <v>0</v>
      </c>
    </row>
    <row r="30" spans="1:7" outlineLevel="2" x14ac:dyDescent="0.25">
      <c r="A30" s="672"/>
      <c r="B30" s="673"/>
      <c r="C30" s="673"/>
      <c r="D30" s="80" t="s">
        <v>30</v>
      </c>
      <c r="E30" s="77">
        <f t="shared" si="1"/>
        <v>0</v>
      </c>
      <c r="F30" s="134">
        <v>0</v>
      </c>
      <c r="G30" s="134">
        <v>0</v>
      </c>
    </row>
    <row r="31" spans="1:7" outlineLevel="2" x14ac:dyDescent="0.25">
      <c r="A31" s="672"/>
      <c r="B31" s="673"/>
      <c r="C31" s="673"/>
      <c r="D31" s="80" t="s">
        <v>31</v>
      </c>
      <c r="E31" s="77">
        <f t="shared" si="1"/>
        <v>0</v>
      </c>
      <c r="F31" s="134">
        <v>0</v>
      </c>
      <c r="G31" s="134">
        <v>0</v>
      </c>
    </row>
    <row r="32" spans="1:7" outlineLevel="2" x14ac:dyDescent="0.25">
      <c r="A32" s="672"/>
      <c r="B32" s="673"/>
      <c r="C32" s="673"/>
      <c r="D32" s="80" t="s">
        <v>32</v>
      </c>
      <c r="E32" s="77">
        <f t="shared" si="1"/>
        <v>0</v>
      </c>
      <c r="F32" s="134">
        <v>0</v>
      </c>
      <c r="G32" s="134">
        <v>0</v>
      </c>
    </row>
    <row r="33" spans="1:7" outlineLevel="2" x14ac:dyDescent="0.25">
      <c r="A33" s="672"/>
      <c r="B33" s="673"/>
      <c r="C33" s="673"/>
      <c r="D33" s="80" t="s">
        <v>33</v>
      </c>
      <c r="E33" s="77">
        <f t="shared" si="1"/>
        <v>0</v>
      </c>
      <c r="F33" s="134">
        <v>0</v>
      </c>
      <c r="G33" s="134">
        <v>0</v>
      </c>
    </row>
    <row r="34" spans="1:7" outlineLevel="2" x14ac:dyDescent="0.25">
      <c r="A34" s="672"/>
      <c r="B34" s="673"/>
      <c r="C34" s="673"/>
      <c r="D34" s="80" t="s">
        <v>34</v>
      </c>
      <c r="E34" s="77">
        <f t="shared" si="1"/>
        <v>0</v>
      </c>
      <c r="F34" s="134">
        <v>0</v>
      </c>
      <c r="G34" s="134">
        <v>0</v>
      </c>
    </row>
    <row r="35" spans="1:7" ht="15.75" outlineLevel="2" thickBot="1" x14ac:dyDescent="0.3">
      <c r="A35" s="672"/>
      <c r="B35" s="673"/>
      <c r="C35" s="673"/>
      <c r="D35" s="81" t="s">
        <v>35</v>
      </c>
      <c r="E35" s="78">
        <f t="shared" si="1"/>
        <v>0</v>
      </c>
      <c r="F35" s="136">
        <v>0</v>
      </c>
      <c r="G35" s="136">
        <v>0</v>
      </c>
    </row>
    <row r="36" spans="1:7" outlineLevel="2" x14ac:dyDescent="0.25">
      <c r="A36" s="672" t="s">
        <v>75</v>
      </c>
      <c r="B36" s="673" t="s">
        <v>77</v>
      </c>
      <c r="C36" s="673">
        <v>633013</v>
      </c>
      <c r="D36" s="79" t="s">
        <v>26</v>
      </c>
      <c r="E36" s="76">
        <f>SUM(F36:G36)</f>
        <v>0</v>
      </c>
      <c r="F36" s="132">
        <v>0</v>
      </c>
      <c r="G36" s="132">
        <v>0</v>
      </c>
    </row>
    <row r="37" spans="1:7" outlineLevel="2" x14ac:dyDescent="0.25">
      <c r="A37" s="672"/>
      <c r="B37" s="673"/>
      <c r="C37" s="673"/>
      <c r="D37" s="80" t="s">
        <v>27</v>
      </c>
      <c r="E37" s="77">
        <f t="shared" ref="E37:E55" si="2">SUM(F37:G37)</f>
        <v>0</v>
      </c>
      <c r="F37" s="134">
        <v>0</v>
      </c>
      <c r="G37" s="134">
        <v>0</v>
      </c>
    </row>
    <row r="38" spans="1:7" outlineLevel="2" x14ac:dyDescent="0.25">
      <c r="A38" s="672"/>
      <c r="B38" s="673"/>
      <c r="C38" s="673"/>
      <c r="D38" s="80" t="s">
        <v>28</v>
      </c>
      <c r="E38" s="77">
        <f t="shared" si="2"/>
        <v>0</v>
      </c>
      <c r="F38" s="134">
        <v>0</v>
      </c>
      <c r="G38" s="134">
        <v>0</v>
      </c>
    </row>
    <row r="39" spans="1:7" outlineLevel="2" x14ac:dyDescent="0.25">
      <c r="A39" s="672"/>
      <c r="B39" s="673"/>
      <c r="C39" s="673"/>
      <c r="D39" s="80" t="s">
        <v>29</v>
      </c>
      <c r="E39" s="77">
        <f t="shared" si="2"/>
        <v>0</v>
      </c>
      <c r="F39" s="134">
        <v>0</v>
      </c>
      <c r="G39" s="134">
        <v>0</v>
      </c>
    </row>
    <row r="40" spans="1:7" outlineLevel="2" x14ac:dyDescent="0.25">
      <c r="A40" s="672"/>
      <c r="B40" s="673"/>
      <c r="C40" s="673"/>
      <c r="D40" s="80" t="s">
        <v>30</v>
      </c>
      <c r="E40" s="77">
        <f t="shared" si="2"/>
        <v>0</v>
      </c>
      <c r="F40" s="134">
        <v>0</v>
      </c>
      <c r="G40" s="134">
        <v>0</v>
      </c>
    </row>
    <row r="41" spans="1:7" outlineLevel="2" x14ac:dyDescent="0.25">
      <c r="A41" s="672"/>
      <c r="B41" s="673"/>
      <c r="C41" s="673"/>
      <c r="D41" s="80" t="s">
        <v>31</v>
      </c>
      <c r="E41" s="77">
        <f t="shared" si="2"/>
        <v>0</v>
      </c>
      <c r="F41" s="134">
        <v>0</v>
      </c>
      <c r="G41" s="134">
        <v>0</v>
      </c>
    </row>
    <row r="42" spans="1:7" outlineLevel="2" x14ac:dyDescent="0.25">
      <c r="A42" s="672"/>
      <c r="B42" s="673"/>
      <c r="C42" s="673"/>
      <c r="D42" s="80" t="s">
        <v>32</v>
      </c>
      <c r="E42" s="77">
        <f t="shared" si="2"/>
        <v>0</v>
      </c>
      <c r="F42" s="134">
        <v>0</v>
      </c>
      <c r="G42" s="134">
        <v>0</v>
      </c>
    </row>
    <row r="43" spans="1:7" outlineLevel="2" x14ac:dyDescent="0.25">
      <c r="A43" s="672"/>
      <c r="B43" s="673"/>
      <c r="C43" s="673"/>
      <c r="D43" s="80" t="s">
        <v>33</v>
      </c>
      <c r="E43" s="77">
        <f t="shared" si="2"/>
        <v>0</v>
      </c>
      <c r="F43" s="134">
        <v>0</v>
      </c>
      <c r="G43" s="134">
        <v>0</v>
      </c>
    </row>
    <row r="44" spans="1:7" outlineLevel="2" x14ac:dyDescent="0.25">
      <c r="A44" s="672"/>
      <c r="B44" s="673"/>
      <c r="C44" s="673"/>
      <c r="D44" s="80" t="s">
        <v>34</v>
      </c>
      <c r="E44" s="77">
        <f t="shared" si="2"/>
        <v>0</v>
      </c>
      <c r="F44" s="134">
        <v>0</v>
      </c>
      <c r="G44" s="134">
        <v>0</v>
      </c>
    </row>
    <row r="45" spans="1:7" ht="15.75" outlineLevel="2" thickBot="1" x14ac:dyDescent="0.3">
      <c r="A45" s="672"/>
      <c r="B45" s="673"/>
      <c r="C45" s="673"/>
      <c r="D45" s="81" t="s">
        <v>35</v>
      </c>
      <c r="E45" s="78">
        <f t="shared" si="2"/>
        <v>0</v>
      </c>
      <c r="F45" s="136">
        <v>0</v>
      </c>
      <c r="G45" s="136">
        <v>0</v>
      </c>
    </row>
    <row r="46" spans="1:7" outlineLevel="2" x14ac:dyDescent="0.25">
      <c r="A46" s="672" t="s">
        <v>76</v>
      </c>
      <c r="B46" s="673" t="s">
        <v>77</v>
      </c>
      <c r="C46" s="673">
        <v>637001</v>
      </c>
      <c r="D46" s="79" t="s">
        <v>26</v>
      </c>
      <c r="E46" s="84">
        <f t="shared" si="2"/>
        <v>0</v>
      </c>
      <c r="F46" s="132">
        <v>0</v>
      </c>
      <c r="G46" s="132">
        <v>0</v>
      </c>
    </row>
    <row r="47" spans="1:7" outlineLevel="2" x14ac:dyDescent="0.25">
      <c r="A47" s="672"/>
      <c r="B47" s="673"/>
      <c r="C47" s="673"/>
      <c r="D47" s="80" t="s">
        <v>27</v>
      </c>
      <c r="E47" s="84">
        <f t="shared" si="2"/>
        <v>0</v>
      </c>
      <c r="F47" s="134">
        <v>0</v>
      </c>
      <c r="G47" s="134">
        <v>0</v>
      </c>
    </row>
    <row r="48" spans="1:7" outlineLevel="2" x14ac:dyDescent="0.25">
      <c r="A48" s="672"/>
      <c r="B48" s="673"/>
      <c r="C48" s="673"/>
      <c r="D48" s="80" t="s">
        <v>28</v>
      </c>
      <c r="E48" s="84">
        <f t="shared" si="2"/>
        <v>0</v>
      </c>
      <c r="F48" s="134">
        <v>0</v>
      </c>
      <c r="G48" s="134">
        <v>0</v>
      </c>
    </row>
    <row r="49" spans="1:7" outlineLevel="2" x14ac:dyDescent="0.25">
      <c r="A49" s="672"/>
      <c r="B49" s="673"/>
      <c r="C49" s="673"/>
      <c r="D49" s="80" t="s">
        <v>29</v>
      </c>
      <c r="E49" s="84">
        <f t="shared" si="2"/>
        <v>0</v>
      </c>
      <c r="F49" s="134">
        <v>0</v>
      </c>
      <c r="G49" s="134">
        <v>0</v>
      </c>
    </row>
    <row r="50" spans="1:7" outlineLevel="2" x14ac:dyDescent="0.25">
      <c r="A50" s="672"/>
      <c r="B50" s="673"/>
      <c r="C50" s="673"/>
      <c r="D50" s="80" t="s">
        <v>30</v>
      </c>
      <c r="E50" s="84">
        <f t="shared" si="2"/>
        <v>0</v>
      </c>
      <c r="F50" s="134">
        <v>0</v>
      </c>
      <c r="G50" s="134">
        <v>0</v>
      </c>
    </row>
    <row r="51" spans="1:7" outlineLevel="2" x14ac:dyDescent="0.25">
      <c r="A51" s="672"/>
      <c r="B51" s="673"/>
      <c r="C51" s="673"/>
      <c r="D51" s="80" t="s">
        <v>31</v>
      </c>
      <c r="E51" s="84">
        <f t="shared" si="2"/>
        <v>0</v>
      </c>
      <c r="F51" s="134">
        <v>0</v>
      </c>
      <c r="G51" s="134">
        <v>0</v>
      </c>
    </row>
    <row r="52" spans="1:7" outlineLevel="2" x14ac:dyDescent="0.25">
      <c r="A52" s="672"/>
      <c r="B52" s="673"/>
      <c r="C52" s="673"/>
      <c r="D52" s="80" t="s">
        <v>32</v>
      </c>
      <c r="E52" s="84">
        <f t="shared" si="2"/>
        <v>0</v>
      </c>
      <c r="F52" s="134">
        <v>0</v>
      </c>
      <c r="G52" s="134">
        <v>0</v>
      </c>
    </row>
    <row r="53" spans="1:7" outlineLevel="2" x14ac:dyDescent="0.25">
      <c r="A53" s="672"/>
      <c r="B53" s="673"/>
      <c r="C53" s="673"/>
      <c r="D53" s="80" t="s">
        <v>33</v>
      </c>
      <c r="E53" s="84">
        <f t="shared" si="2"/>
        <v>0</v>
      </c>
      <c r="F53" s="134">
        <v>0</v>
      </c>
      <c r="G53" s="134">
        <v>0</v>
      </c>
    </row>
    <row r="54" spans="1:7" outlineLevel="2" x14ac:dyDescent="0.25">
      <c r="A54" s="672"/>
      <c r="B54" s="673"/>
      <c r="C54" s="673"/>
      <c r="D54" s="80" t="s">
        <v>34</v>
      </c>
      <c r="E54" s="84">
        <f t="shared" si="2"/>
        <v>0</v>
      </c>
      <c r="F54" s="134">
        <v>0</v>
      </c>
      <c r="G54" s="134">
        <v>0</v>
      </c>
    </row>
    <row r="55" spans="1:7" ht="15.75" outlineLevel="2" thickBot="1" x14ac:dyDescent="0.3">
      <c r="A55" s="672"/>
      <c r="B55" s="673"/>
      <c r="C55" s="673"/>
      <c r="D55" s="80" t="s">
        <v>35</v>
      </c>
      <c r="E55" s="84">
        <f t="shared" si="2"/>
        <v>0</v>
      </c>
      <c r="F55" s="136">
        <v>0</v>
      </c>
      <c r="G55" s="136">
        <v>0</v>
      </c>
    </row>
    <row r="56" spans="1:7" ht="15.75" thickBot="1" x14ac:dyDescent="0.3">
      <c r="A56" s="674" t="s">
        <v>78</v>
      </c>
      <c r="B56" s="675"/>
      <c r="C56" s="675"/>
      <c r="D56" s="92"/>
      <c r="E56" s="89">
        <f>E57+E78</f>
        <v>5280000</v>
      </c>
      <c r="F56" s="90">
        <f>F57+F78</f>
        <v>2880000</v>
      </c>
      <c r="G56" s="90">
        <f>G57+G78</f>
        <v>2400000</v>
      </c>
    </row>
    <row r="57" spans="1:7" ht="15.75" outlineLevel="1" thickBot="1" x14ac:dyDescent="0.3">
      <c r="A57" s="25" t="s">
        <v>105</v>
      </c>
      <c r="B57" s="25"/>
      <c r="C57" s="25"/>
      <c r="D57" s="36"/>
      <c r="E57" s="89">
        <f>SUM(E58:E77)</f>
        <v>0</v>
      </c>
      <c r="F57" s="145">
        <f>SUM(F58:F77)</f>
        <v>0</v>
      </c>
      <c r="G57" s="145">
        <f>SUM(G58:G77)</f>
        <v>0</v>
      </c>
    </row>
    <row r="58" spans="1:7" outlineLevel="2" x14ac:dyDescent="0.25">
      <c r="A58" s="672" t="s">
        <v>79</v>
      </c>
      <c r="B58" s="673" t="s">
        <v>80</v>
      </c>
      <c r="C58" s="673">
        <v>635009</v>
      </c>
      <c r="D58" s="79" t="s">
        <v>26</v>
      </c>
      <c r="E58" s="84">
        <f>SUM(F58:G58)</f>
        <v>0</v>
      </c>
      <c r="F58" s="138">
        <v>0</v>
      </c>
      <c r="G58" s="138">
        <v>0</v>
      </c>
    </row>
    <row r="59" spans="1:7" outlineLevel="2" x14ac:dyDescent="0.25">
      <c r="A59" s="672"/>
      <c r="B59" s="673"/>
      <c r="C59" s="673"/>
      <c r="D59" s="80" t="s">
        <v>27</v>
      </c>
      <c r="E59" s="84">
        <f t="shared" ref="E59:E77" si="3">SUM(F59:G59)</f>
        <v>0</v>
      </c>
      <c r="F59" s="140">
        <v>0</v>
      </c>
      <c r="G59" s="140">
        <v>0</v>
      </c>
    </row>
    <row r="60" spans="1:7" outlineLevel="2" x14ac:dyDescent="0.25">
      <c r="A60" s="672"/>
      <c r="B60" s="673"/>
      <c r="C60" s="673"/>
      <c r="D60" s="80" t="s">
        <v>28</v>
      </c>
      <c r="E60" s="84">
        <f t="shared" si="3"/>
        <v>0</v>
      </c>
      <c r="F60" s="140">
        <v>0</v>
      </c>
      <c r="G60" s="140">
        <v>0</v>
      </c>
    </row>
    <row r="61" spans="1:7" outlineLevel="2" x14ac:dyDescent="0.25">
      <c r="A61" s="672"/>
      <c r="B61" s="673"/>
      <c r="C61" s="673"/>
      <c r="D61" s="80" t="s">
        <v>29</v>
      </c>
      <c r="E61" s="84">
        <f t="shared" si="3"/>
        <v>0</v>
      </c>
      <c r="F61" s="140">
        <v>0</v>
      </c>
      <c r="G61" s="140">
        <v>0</v>
      </c>
    </row>
    <row r="62" spans="1:7" outlineLevel="2" x14ac:dyDescent="0.25">
      <c r="A62" s="672"/>
      <c r="B62" s="673"/>
      <c r="C62" s="673"/>
      <c r="D62" s="80" t="s">
        <v>30</v>
      </c>
      <c r="E62" s="84">
        <f t="shared" si="3"/>
        <v>0</v>
      </c>
      <c r="F62" s="140">
        <v>0</v>
      </c>
      <c r="G62" s="140">
        <v>0</v>
      </c>
    </row>
    <row r="63" spans="1:7" outlineLevel="2" x14ac:dyDescent="0.25">
      <c r="A63" s="672"/>
      <c r="B63" s="673"/>
      <c r="C63" s="673"/>
      <c r="D63" s="80" t="s">
        <v>31</v>
      </c>
      <c r="E63" s="84">
        <f t="shared" si="3"/>
        <v>0</v>
      </c>
      <c r="F63" s="140">
        <v>0</v>
      </c>
      <c r="G63" s="140">
        <v>0</v>
      </c>
    </row>
    <row r="64" spans="1:7" outlineLevel="2" x14ac:dyDescent="0.25">
      <c r="A64" s="672"/>
      <c r="B64" s="673"/>
      <c r="C64" s="673"/>
      <c r="D64" s="80" t="s">
        <v>32</v>
      </c>
      <c r="E64" s="84">
        <f t="shared" si="3"/>
        <v>0</v>
      </c>
      <c r="F64" s="140">
        <v>0</v>
      </c>
      <c r="G64" s="140">
        <v>0</v>
      </c>
    </row>
    <row r="65" spans="1:7" outlineLevel="2" x14ac:dyDescent="0.25">
      <c r="A65" s="672"/>
      <c r="B65" s="673"/>
      <c r="C65" s="673"/>
      <c r="D65" s="80" t="s">
        <v>33</v>
      </c>
      <c r="E65" s="84">
        <f t="shared" si="3"/>
        <v>0</v>
      </c>
      <c r="F65" s="140">
        <v>0</v>
      </c>
      <c r="G65" s="140">
        <v>0</v>
      </c>
    </row>
    <row r="66" spans="1:7" outlineLevel="2" x14ac:dyDescent="0.25">
      <c r="A66" s="672"/>
      <c r="B66" s="673"/>
      <c r="C66" s="673"/>
      <c r="D66" s="80" t="s">
        <v>34</v>
      </c>
      <c r="E66" s="84">
        <f t="shared" si="3"/>
        <v>0</v>
      </c>
      <c r="F66" s="140">
        <v>0</v>
      </c>
      <c r="G66" s="140">
        <v>0</v>
      </c>
    </row>
    <row r="67" spans="1:7" ht="15.75" outlineLevel="2" thickBot="1" x14ac:dyDescent="0.3">
      <c r="A67" s="672"/>
      <c r="B67" s="673"/>
      <c r="C67" s="673"/>
      <c r="D67" s="81" t="s">
        <v>35</v>
      </c>
      <c r="E67" s="85">
        <f t="shared" si="3"/>
        <v>0</v>
      </c>
      <c r="F67" s="142">
        <v>0</v>
      </c>
      <c r="G67" s="142">
        <v>0</v>
      </c>
    </row>
    <row r="68" spans="1:7" outlineLevel="2" x14ac:dyDescent="0.25">
      <c r="A68" s="672" t="s">
        <v>81</v>
      </c>
      <c r="B68" s="673" t="s">
        <v>72</v>
      </c>
      <c r="C68" s="673">
        <v>718006</v>
      </c>
      <c r="D68" s="79" t="s">
        <v>26</v>
      </c>
      <c r="E68" s="84">
        <f t="shared" si="3"/>
        <v>0</v>
      </c>
      <c r="F68" s="138">
        <v>0</v>
      </c>
      <c r="G68" s="138">
        <v>0</v>
      </c>
    </row>
    <row r="69" spans="1:7" outlineLevel="2" x14ac:dyDescent="0.25">
      <c r="A69" s="672"/>
      <c r="B69" s="673"/>
      <c r="C69" s="673"/>
      <c r="D69" s="80" t="s">
        <v>27</v>
      </c>
      <c r="E69" s="84">
        <f t="shared" si="3"/>
        <v>0</v>
      </c>
      <c r="F69" s="140">
        <v>0</v>
      </c>
      <c r="G69" s="140">
        <v>0</v>
      </c>
    </row>
    <row r="70" spans="1:7" outlineLevel="2" x14ac:dyDescent="0.25">
      <c r="A70" s="672"/>
      <c r="B70" s="673"/>
      <c r="C70" s="673"/>
      <c r="D70" s="80" t="s">
        <v>28</v>
      </c>
      <c r="E70" s="84">
        <f t="shared" si="3"/>
        <v>0</v>
      </c>
      <c r="F70" s="140">
        <v>0</v>
      </c>
      <c r="G70" s="140">
        <v>0</v>
      </c>
    </row>
    <row r="71" spans="1:7" outlineLevel="2" x14ac:dyDescent="0.25">
      <c r="A71" s="672"/>
      <c r="B71" s="673"/>
      <c r="C71" s="673"/>
      <c r="D71" s="80" t="s">
        <v>29</v>
      </c>
      <c r="E71" s="84">
        <f t="shared" si="3"/>
        <v>0</v>
      </c>
      <c r="F71" s="140">
        <v>0</v>
      </c>
      <c r="G71" s="140">
        <v>0</v>
      </c>
    </row>
    <row r="72" spans="1:7" outlineLevel="2" x14ac:dyDescent="0.25">
      <c r="A72" s="672"/>
      <c r="B72" s="673"/>
      <c r="C72" s="673"/>
      <c r="D72" s="80" t="s">
        <v>30</v>
      </c>
      <c r="E72" s="84">
        <f t="shared" si="3"/>
        <v>0</v>
      </c>
      <c r="F72" s="140">
        <v>0</v>
      </c>
      <c r="G72" s="140">
        <v>0</v>
      </c>
    </row>
    <row r="73" spans="1:7" outlineLevel="2" x14ac:dyDescent="0.25">
      <c r="A73" s="672"/>
      <c r="B73" s="673"/>
      <c r="C73" s="673"/>
      <c r="D73" s="80" t="s">
        <v>31</v>
      </c>
      <c r="E73" s="84">
        <f t="shared" si="3"/>
        <v>0</v>
      </c>
      <c r="F73" s="140">
        <v>0</v>
      </c>
      <c r="G73" s="140">
        <v>0</v>
      </c>
    </row>
    <row r="74" spans="1:7" outlineLevel="2" x14ac:dyDescent="0.25">
      <c r="A74" s="672"/>
      <c r="B74" s="673"/>
      <c r="C74" s="673"/>
      <c r="D74" s="80" t="s">
        <v>32</v>
      </c>
      <c r="E74" s="84">
        <f t="shared" si="3"/>
        <v>0</v>
      </c>
      <c r="F74" s="140">
        <v>0</v>
      </c>
      <c r="G74" s="140">
        <v>0</v>
      </c>
    </row>
    <row r="75" spans="1:7" outlineLevel="2" x14ac:dyDescent="0.25">
      <c r="A75" s="672"/>
      <c r="B75" s="673"/>
      <c r="C75" s="673"/>
      <c r="D75" s="80" t="s">
        <v>33</v>
      </c>
      <c r="E75" s="84">
        <f t="shared" si="3"/>
        <v>0</v>
      </c>
      <c r="F75" s="140">
        <v>0</v>
      </c>
      <c r="G75" s="140">
        <v>0</v>
      </c>
    </row>
    <row r="76" spans="1:7" outlineLevel="2" x14ac:dyDescent="0.25">
      <c r="A76" s="672"/>
      <c r="B76" s="673"/>
      <c r="C76" s="673"/>
      <c r="D76" s="80" t="s">
        <v>34</v>
      </c>
      <c r="E76" s="84">
        <f t="shared" si="3"/>
        <v>0</v>
      </c>
      <c r="F76" s="140">
        <v>0</v>
      </c>
      <c r="G76" s="140">
        <v>0</v>
      </c>
    </row>
    <row r="77" spans="1:7" ht="15.75" outlineLevel="2" thickBot="1" x14ac:dyDescent="0.3">
      <c r="A77" s="672"/>
      <c r="B77" s="673"/>
      <c r="C77" s="673"/>
      <c r="D77" s="81" t="s">
        <v>35</v>
      </c>
      <c r="E77" s="85">
        <f t="shared" si="3"/>
        <v>0</v>
      </c>
      <c r="F77" s="142">
        <v>0</v>
      </c>
      <c r="G77" s="142">
        <v>0</v>
      </c>
    </row>
    <row r="78" spans="1:7" ht="15.75" outlineLevel="1" thickBot="1" x14ac:dyDescent="0.3">
      <c r="A78" s="25" t="s">
        <v>106</v>
      </c>
      <c r="B78" s="25"/>
      <c r="C78" s="25"/>
      <c r="D78" s="36"/>
      <c r="E78" s="146">
        <f>SUM(E79:E128)</f>
        <v>5280000</v>
      </c>
      <c r="F78" s="147">
        <f>SUM(F79:F128)</f>
        <v>2880000</v>
      </c>
      <c r="G78" s="147">
        <f>SUM(G79:G128)</f>
        <v>2400000</v>
      </c>
    </row>
    <row r="79" spans="1:7" outlineLevel="2" x14ac:dyDescent="0.25">
      <c r="A79" s="672" t="s">
        <v>82</v>
      </c>
      <c r="B79" s="673" t="s">
        <v>80</v>
      </c>
      <c r="C79" s="673">
        <v>635009</v>
      </c>
      <c r="D79" s="79" t="s">
        <v>26</v>
      </c>
      <c r="E79" s="84">
        <f>SUM(F79:G79)</f>
        <v>528000</v>
      </c>
      <c r="F79" s="132">
        <f>240000*1.2</f>
        <v>288000</v>
      </c>
      <c r="G79" s="132">
        <v>240000</v>
      </c>
    </row>
    <row r="80" spans="1:7" outlineLevel="2" x14ac:dyDescent="0.25">
      <c r="A80" s="672"/>
      <c r="B80" s="673"/>
      <c r="C80" s="673"/>
      <c r="D80" s="80" t="s">
        <v>27</v>
      </c>
      <c r="E80" s="84">
        <f t="shared" ref="E80:E128" si="4">SUM(F80:G80)</f>
        <v>528000</v>
      </c>
      <c r="F80" s="134">
        <f>240000*1.2</f>
        <v>288000</v>
      </c>
      <c r="G80" s="134">
        <v>240000</v>
      </c>
    </row>
    <row r="81" spans="1:7" outlineLevel="2" x14ac:dyDescent="0.25">
      <c r="A81" s="672"/>
      <c r="B81" s="673"/>
      <c r="C81" s="673"/>
      <c r="D81" s="80" t="s">
        <v>28</v>
      </c>
      <c r="E81" s="84">
        <f t="shared" si="4"/>
        <v>528000</v>
      </c>
      <c r="F81" s="134">
        <f t="shared" ref="F81:F88" si="5">240000*1.2</f>
        <v>288000</v>
      </c>
      <c r="G81" s="134">
        <v>240000</v>
      </c>
    </row>
    <row r="82" spans="1:7" outlineLevel="2" x14ac:dyDescent="0.25">
      <c r="A82" s="672"/>
      <c r="B82" s="673"/>
      <c r="C82" s="673"/>
      <c r="D82" s="80" t="s">
        <v>29</v>
      </c>
      <c r="E82" s="84">
        <f t="shared" si="4"/>
        <v>528000</v>
      </c>
      <c r="F82" s="134">
        <f t="shared" si="5"/>
        <v>288000</v>
      </c>
      <c r="G82" s="134">
        <v>240000</v>
      </c>
    </row>
    <row r="83" spans="1:7" outlineLevel="2" x14ac:dyDescent="0.25">
      <c r="A83" s="672"/>
      <c r="B83" s="673"/>
      <c r="C83" s="673"/>
      <c r="D83" s="80" t="s">
        <v>30</v>
      </c>
      <c r="E83" s="84">
        <f t="shared" si="4"/>
        <v>528000</v>
      </c>
      <c r="F83" s="134">
        <f t="shared" si="5"/>
        <v>288000</v>
      </c>
      <c r="G83" s="134">
        <v>240000</v>
      </c>
    </row>
    <row r="84" spans="1:7" outlineLevel="2" x14ac:dyDescent="0.25">
      <c r="A84" s="672"/>
      <c r="B84" s="673"/>
      <c r="C84" s="673"/>
      <c r="D84" s="80" t="s">
        <v>31</v>
      </c>
      <c r="E84" s="84">
        <f t="shared" si="4"/>
        <v>528000</v>
      </c>
      <c r="F84" s="134">
        <f t="shared" si="5"/>
        <v>288000</v>
      </c>
      <c r="G84" s="134">
        <v>240000</v>
      </c>
    </row>
    <row r="85" spans="1:7" outlineLevel="2" x14ac:dyDescent="0.25">
      <c r="A85" s="672"/>
      <c r="B85" s="673"/>
      <c r="C85" s="673"/>
      <c r="D85" s="80" t="s">
        <v>32</v>
      </c>
      <c r="E85" s="84">
        <f t="shared" si="4"/>
        <v>528000</v>
      </c>
      <c r="F85" s="134">
        <f t="shared" si="5"/>
        <v>288000</v>
      </c>
      <c r="G85" s="134">
        <v>240000</v>
      </c>
    </row>
    <row r="86" spans="1:7" outlineLevel="2" x14ac:dyDescent="0.25">
      <c r="A86" s="672"/>
      <c r="B86" s="673"/>
      <c r="C86" s="673"/>
      <c r="D86" s="80" t="s">
        <v>33</v>
      </c>
      <c r="E86" s="84">
        <f t="shared" si="4"/>
        <v>528000</v>
      </c>
      <c r="F86" s="134">
        <f t="shared" si="5"/>
        <v>288000</v>
      </c>
      <c r="G86" s="134">
        <v>240000</v>
      </c>
    </row>
    <row r="87" spans="1:7" outlineLevel="2" x14ac:dyDescent="0.25">
      <c r="A87" s="672"/>
      <c r="B87" s="673"/>
      <c r="C87" s="673"/>
      <c r="D87" s="80" t="s">
        <v>34</v>
      </c>
      <c r="E87" s="84">
        <f t="shared" si="4"/>
        <v>528000</v>
      </c>
      <c r="F87" s="134">
        <f t="shared" si="5"/>
        <v>288000</v>
      </c>
      <c r="G87" s="134">
        <v>240000</v>
      </c>
    </row>
    <row r="88" spans="1:7" ht="15.75" outlineLevel="2" thickBot="1" x14ac:dyDescent="0.3">
      <c r="A88" s="672"/>
      <c r="B88" s="673"/>
      <c r="C88" s="673"/>
      <c r="D88" s="81" t="s">
        <v>35</v>
      </c>
      <c r="E88" s="85">
        <f t="shared" si="4"/>
        <v>528000</v>
      </c>
      <c r="F88" s="134">
        <f t="shared" si="5"/>
        <v>288000</v>
      </c>
      <c r="G88" s="134">
        <v>240000</v>
      </c>
    </row>
    <row r="89" spans="1:7" outlineLevel="2" x14ac:dyDescent="0.25">
      <c r="A89" s="672" t="s">
        <v>83</v>
      </c>
      <c r="B89" s="673" t="s">
        <v>77</v>
      </c>
      <c r="C89" s="673">
        <v>637005</v>
      </c>
      <c r="D89" s="79" t="s">
        <v>26</v>
      </c>
      <c r="E89" s="84">
        <f t="shared" si="4"/>
        <v>0</v>
      </c>
      <c r="F89" s="132">
        <v>0</v>
      </c>
      <c r="G89" s="132">
        <v>0</v>
      </c>
    </row>
    <row r="90" spans="1:7" outlineLevel="2" x14ac:dyDescent="0.25">
      <c r="A90" s="672"/>
      <c r="B90" s="673"/>
      <c r="C90" s="673"/>
      <c r="D90" s="80" t="s">
        <v>27</v>
      </c>
      <c r="E90" s="84">
        <f t="shared" si="4"/>
        <v>0</v>
      </c>
      <c r="F90" s="134">
        <v>0</v>
      </c>
      <c r="G90" s="134">
        <v>0</v>
      </c>
    </row>
    <row r="91" spans="1:7" outlineLevel="2" x14ac:dyDescent="0.25">
      <c r="A91" s="672"/>
      <c r="B91" s="673"/>
      <c r="C91" s="673"/>
      <c r="D91" s="80" t="s">
        <v>28</v>
      </c>
      <c r="E91" s="84">
        <f t="shared" si="4"/>
        <v>0</v>
      </c>
      <c r="F91" s="134">
        <v>0</v>
      </c>
      <c r="G91" s="134">
        <v>0</v>
      </c>
    </row>
    <row r="92" spans="1:7" outlineLevel="2" x14ac:dyDescent="0.25">
      <c r="A92" s="672"/>
      <c r="B92" s="673"/>
      <c r="C92" s="673"/>
      <c r="D92" s="80" t="s">
        <v>29</v>
      </c>
      <c r="E92" s="84">
        <f t="shared" si="4"/>
        <v>0</v>
      </c>
      <c r="F92" s="134">
        <v>0</v>
      </c>
      <c r="G92" s="134">
        <v>0</v>
      </c>
    </row>
    <row r="93" spans="1:7" outlineLevel="2" x14ac:dyDescent="0.25">
      <c r="A93" s="672"/>
      <c r="B93" s="673"/>
      <c r="C93" s="673"/>
      <c r="D93" s="80" t="s">
        <v>30</v>
      </c>
      <c r="E93" s="84">
        <f t="shared" si="4"/>
        <v>0</v>
      </c>
      <c r="F93" s="134">
        <v>0</v>
      </c>
      <c r="G93" s="134">
        <v>0</v>
      </c>
    </row>
    <row r="94" spans="1:7" outlineLevel="2" x14ac:dyDescent="0.25">
      <c r="A94" s="672"/>
      <c r="B94" s="673"/>
      <c r="C94" s="673"/>
      <c r="D94" s="80" t="s">
        <v>31</v>
      </c>
      <c r="E94" s="84">
        <f t="shared" si="4"/>
        <v>0</v>
      </c>
      <c r="F94" s="134">
        <v>0</v>
      </c>
      <c r="G94" s="134">
        <v>0</v>
      </c>
    </row>
    <row r="95" spans="1:7" outlineLevel="2" x14ac:dyDescent="0.25">
      <c r="A95" s="672"/>
      <c r="B95" s="673"/>
      <c r="C95" s="673"/>
      <c r="D95" s="80" t="s">
        <v>32</v>
      </c>
      <c r="E95" s="84">
        <f t="shared" si="4"/>
        <v>0</v>
      </c>
      <c r="F95" s="134">
        <v>0</v>
      </c>
      <c r="G95" s="134">
        <v>0</v>
      </c>
    </row>
    <row r="96" spans="1:7" outlineLevel="2" x14ac:dyDescent="0.25">
      <c r="A96" s="672"/>
      <c r="B96" s="673"/>
      <c r="C96" s="673"/>
      <c r="D96" s="80" t="s">
        <v>33</v>
      </c>
      <c r="E96" s="84">
        <f t="shared" si="4"/>
        <v>0</v>
      </c>
      <c r="F96" s="134">
        <v>0</v>
      </c>
      <c r="G96" s="134">
        <v>0</v>
      </c>
    </row>
    <row r="97" spans="1:7" outlineLevel="2" x14ac:dyDescent="0.25">
      <c r="A97" s="672"/>
      <c r="B97" s="673"/>
      <c r="C97" s="673"/>
      <c r="D97" s="80" t="s">
        <v>34</v>
      </c>
      <c r="E97" s="84">
        <f t="shared" si="4"/>
        <v>0</v>
      </c>
      <c r="F97" s="134">
        <v>0</v>
      </c>
      <c r="G97" s="134">
        <v>0</v>
      </c>
    </row>
    <row r="98" spans="1:7" ht="15.75" outlineLevel="2" thickBot="1" x14ac:dyDescent="0.3">
      <c r="A98" s="672"/>
      <c r="B98" s="673"/>
      <c r="C98" s="673"/>
      <c r="D98" s="81" t="s">
        <v>35</v>
      </c>
      <c r="E98" s="85">
        <f t="shared" si="4"/>
        <v>0</v>
      </c>
      <c r="F98" s="136">
        <v>0</v>
      </c>
      <c r="G98" s="136">
        <v>0</v>
      </c>
    </row>
    <row r="99" spans="1:7" outlineLevel="2" x14ac:dyDescent="0.25">
      <c r="A99" s="672" t="s">
        <v>84</v>
      </c>
      <c r="B99" s="673" t="s">
        <v>72</v>
      </c>
      <c r="C99" s="673">
        <v>718006</v>
      </c>
      <c r="D99" s="79" t="s">
        <v>26</v>
      </c>
      <c r="E99" s="84">
        <f t="shared" si="4"/>
        <v>0</v>
      </c>
      <c r="F99" s="132">
        <v>0</v>
      </c>
      <c r="G99" s="132">
        <v>0</v>
      </c>
    </row>
    <row r="100" spans="1:7" outlineLevel="2" x14ac:dyDescent="0.25">
      <c r="A100" s="672"/>
      <c r="B100" s="673"/>
      <c r="C100" s="673"/>
      <c r="D100" s="80" t="s">
        <v>27</v>
      </c>
      <c r="E100" s="84">
        <f t="shared" si="4"/>
        <v>0</v>
      </c>
      <c r="F100" s="134">
        <v>0</v>
      </c>
      <c r="G100" s="134">
        <v>0</v>
      </c>
    </row>
    <row r="101" spans="1:7" outlineLevel="2" x14ac:dyDescent="0.25">
      <c r="A101" s="672"/>
      <c r="B101" s="673"/>
      <c r="C101" s="673"/>
      <c r="D101" s="80" t="s">
        <v>28</v>
      </c>
      <c r="E101" s="84">
        <f t="shared" si="4"/>
        <v>0</v>
      </c>
      <c r="F101" s="134">
        <v>0</v>
      </c>
      <c r="G101" s="134">
        <v>0</v>
      </c>
    </row>
    <row r="102" spans="1:7" outlineLevel="2" x14ac:dyDescent="0.25">
      <c r="A102" s="672"/>
      <c r="B102" s="673"/>
      <c r="C102" s="673"/>
      <c r="D102" s="80" t="s">
        <v>29</v>
      </c>
      <c r="E102" s="84">
        <f t="shared" si="4"/>
        <v>0</v>
      </c>
      <c r="F102" s="134">
        <v>0</v>
      </c>
      <c r="G102" s="134">
        <v>0</v>
      </c>
    </row>
    <row r="103" spans="1:7" outlineLevel="2" x14ac:dyDescent="0.25">
      <c r="A103" s="672"/>
      <c r="B103" s="673"/>
      <c r="C103" s="673"/>
      <c r="D103" s="80" t="s">
        <v>30</v>
      </c>
      <c r="E103" s="84">
        <f t="shared" si="4"/>
        <v>0</v>
      </c>
      <c r="F103" s="134">
        <v>0</v>
      </c>
      <c r="G103" s="134">
        <v>0</v>
      </c>
    </row>
    <row r="104" spans="1:7" outlineLevel="2" x14ac:dyDescent="0.25">
      <c r="A104" s="672"/>
      <c r="B104" s="673"/>
      <c r="C104" s="673"/>
      <c r="D104" s="80" t="s">
        <v>31</v>
      </c>
      <c r="E104" s="84">
        <f t="shared" si="4"/>
        <v>0</v>
      </c>
      <c r="F104" s="134">
        <v>0</v>
      </c>
      <c r="G104" s="134">
        <v>0</v>
      </c>
    </row>
    <row r="105" spans="1:7" outlineLevel="2" x14ac:dyDescent="0.25">
      <c r="A105" s="672"/>
      <c r="B105" s="673"/>
      <c r="C105" s="673"/>
      <c r="D105" s="80" t="s">
        <v>32</v>
      </c>
      <c r="E105" s="84">
        <f t="shared" si="4"/>
        <v>0</v>
      </c>
      <c r="F105" s="134">
        <v>0</v>
      </c>
      <c r="G105" s="134">
        <v>0</v>
      </c>
    </row>
    <row r="106" spans="1:7" outlineLevel="2" x14ac:dyDescent="0.25">
      <c r="A106" s="672"/>
      <c r="B106" s="673"/>
      <c r="C106" s="673"/>
      <c r="D106" s="80" t="s">
        <v>33</v>
      </c>
      <c r="E106" s="84">
        <f t="shared" si="4"/>
        <v>0</v>
      </c>
      <c r="F106" s="134">
        <v>0</v>
      </c>
      <c r="G106" s="134">
        <v>0</v>
      </c>
    </row>
    <row r="107" spans="1:7" outlineLevel="2" x14ac:dyDescent="0.25">
      <c r="A107" s="672"/>
      <c r="B107" s="673"/>
      <c r="C107" s="673"/>
      <c r="D107" s="80" t="s">
        <v>34</v>
      </c>
      <c r="E107" s="84">
        <f t="shared" si="4"/>
        <v>0</v>
      </c>
      <c r="F107" s="134">
        <v>0</v>
      </c>
      <c r="G107" s="134">
        <v>0</v>
      </c>
    </row>
    <row r="108" spans="1:7" ht="15.75" outlineLevel="2" thickBot="1" x14ac:dyDescent="0.3">
      <c r="A108" s="672"/>
      <c r="B108" s="673"/>
      <c r="C108" s="673"/>
      <c r="D108" s="81" t="s">
        <v>35</v>
      </c>
      <c r="E108" s="85">
        <f t="shared" si="4"/>
        <v>0</v>
      </c>
      <c r="F108" s="136">
        <v>0</v>
      </c>
      <c r="G108" s="136">
        <v>0</v>
      </c>
    </row>
    <row r="109" spans="1:7" outlineLevel="2" x14ac:dyDescent="0.25">
      <c r="A109" s="672" t="s">
        <v>85</v>
      </c>
      <c r="B109" s="673" t="s">
        <v>86</v>
      </c>
      <c r="C109" s="673"/>
      <c r="D109" s="79" t="s">
        <v>26</v>
      </c>
      <c r="E109" s="84">
        <f t="shared" si="4"/>
        <v>0</v>
      </c>
      <c r="F109" s="132">
        <v>0</v>
      </c>
      <c r="G109" s="132">
        <v>0</v>
      </c>
    </row>
    <row r="110" spans="1:7" outlineLevel="2" x14ac:dyDescent="0.25">
      <c r="A110" s="672"/>
      <c r="B110" s="673"/>
      <c r="C110" s="673"/>
      <c r="D110" s="80" t="s">
        <v>27</v>
      </c>
      <c r="E110" s="84">
        <f t="shared" si="4"/>
        <v>0</v>
      </c>
      <c r="F110" s="134">
        <v>0</v>
      </c>
      <c r="G110" s="134">
        <v>0</v>
      </c>
    </row>
    <row r="111" spans="1:7" outlineLevel="2" x14ac:dyDescent="0.25">
      <c r="A111" s="672"/>
      <c r="B111" s="673"/>
      <c r="C111" s="673"/>
      <c r="D111" s="80" t="s">
        <v>28</v>
      </c>
      <c r="E111" s="84">
        <f t="shared" si="4"/>
        <v>0</v>
      </c>
      <c r="F111" s="134">
        <v>0</v>
      </c>
      <c r="G111" s="134">
        <v>0</v>
      </c>
    </row>
    <row r="112" spans="1:7" outlineLevel="2" x14ac:dyDescent="0.25">
      <c r="A112" s="672"/>
      <c r="B112" s="673"/>
      <c r="C112" s="673"/>
      <c r="D112" s="80" t="s">
        <v>29</v>
      </c>
      <c r="E112" s="84">
        <f t="shared" si="4"/>
        <v>0</v>
      </c>
      <c r="F112" s="134">
        <v>0</v>
      </c>
      <c r="G112" s="134">
        <v>0</v>
      </c>
    </row>
    <row r="113" spans="1:7" outlineLevel="2" x14ac:dyDescent="0.25">
      <c r="A113" s="672"/>
      <c r="B113" s="673"/>
      <c r="C113" s="673"/>
      <c r="D113" s="80" t="s">
        <v>30</v>
      </c>
      <c r="E113" s="84">
        <f t="shared" si="4"/>
        <v>0</v>
      </c>
      <c r="F113" s="134">
        <v>0</v>
      </c>
      <c r="G113" s="134">
        <v>0</v>
      </c>
    </row>
    <row r="114" spans="1:7" outlineLevel="2" x14ac:dyDescent="0.25">
      <c r="A114" s="672"/>
      <c r="B114" s="673"/>
      <c r="C114" s="673"/>
      <c r="D114" s="80" t="s">
        <v>31</v>
      </c>
      <c r="E114" s="84">
        <f t="shared" si="4"/>
        <v>0</v>
      </c>
      <c r="F114" s="134">
        <v>0</v>
      </c>
      <c r="G114" s="134">
        <v>0</v>
      </c>
    </row>
    <row r="115" spans="1:7" outlineLevel="2" x14ac:dyDescent="0.25">
      <c r="A115" s="672"/>
      <c r="B115" s="673"/>
      <c r="C115" s="673"/>
      <c r="D115" s="80" t="s">
        <v>32</v>
      </c>
      <c r="E115" s="84">
        <f t="shared" si="4"/>
        <v>0</v>
      </c>
      <c r="F115" s="134">
        <v>0</v>
      </c>
      <c r="G115" s="134">
        <v>0</v>
      </c>
    </row>
    <row r="116" spans="1:7" outlineLevel="2" x14ac:dyDescent="0.25">
      <c r="A116" s="672"/>
      <c r="B116" s="673"/>
      <c r="C116" s="673"/>
      <c r="D116" s="80" t="s">
        <v>33</v>
      </c>
      <c r="E116" s="84">
        <f t="shared" si="4"/>
        <v>0</v>
      </c>
      <c r="F116" s="134">
        <v>0</v>
      </c>
      <c r="G116" s="134">
        <v>0</v>
      </c>
    </row>
    <row r="117" spans="1:7" outlineLevel="2" x14ac:dyDescent="0.25">
      <c r="A117" s="672"/>
      <c r="B117" s="673"/>
      <c r="C117" s="673"/>
      <c r="D117" s="80" t="s">
        <v>34</v>
      </c>
      <c r="E117" s="84">
        <f t="shared" si="4"/>
        <v>0</v>
      </c>
      <c r="F117" s="134">
        <v>0</v>
      </c>
      <c r="G117" s="134">
        <v>0</v>
      </c>
    </row>
    <row r="118" spans="1:7" ht="15.75" outlineLevel="2" thickBot="1" x14ac:dyDescent="0.3">
      <c r="A118" s="672"/>
      <c r="B118" s="673"/>
      <c r="C118" s="673"/>
      <c r="D118" s="81" t="s">
        <v>35</v>
      </c>
      <c r="E118" s="85">
        <f t="shared" si="4"/>
        <v>0</v>
      </c>
      <c r="F118" s="136">
        <v>0</v>
      </c>
      <c r="G118" s="136">
        <v>0</v>
      </c>
    </row>
    <row r="119" spans="1:7" outlineLevel="2" x14ac:dyDescent="0.25">
      <c r="A119" s="672" t="s">
        <v>76</v>
      </c>
      <c r="B119" s="673" t="s">
        <v>77</v>
      </c>
      <c r="C119" s="673">
        <v>637001</v>
      </c>
      <c r="D119" s="79" t="s">
        <v>26</v>
      </c>
      <c r="E119" s="84">
        <f t="shared" si="4"/>
        <v>0</v>
      </c>
      <c r="F119" s="132">
        <v>0</v>
      </c>
      <c r="G119" s="132">
        <v>0</v>
      </c>
    </row>
    <row r="120" spans="1:7" outlineLevel="2" x14ac:dyDescent="0.25">
      <c r="A120" s="672"/>
      <c r="B120" s="673"/>
      <c r="C120" s="673"/>
      <c r="D120" s="80" t="s">
        <v>27</v>
      </c>
      <c r="E120" s="84">
        <f t="shared" si="4"/>
        <v>0</v>
      </c>
      <c r="F120" s="134">
        <v>0</v>
      </c>
      <c r="G120" s="134">
        <v>0</v>
      </c>
    </row>
    <row r="121" spans="1:7" outlineLevel="2" x14ac:dyDescent="0.25">
      <c r="A121" s="672"/>
      <c r="B121" s="673"/>
      <c r="C121" s="673"/>
      <c r="D121" s="80" t="s">
        <v>28</v>
      </c>
      <c r="E121" s="84">
        <f t="shared" si="4"/>
        <v>0</v>
      </c>
      <c r="F121" s="134">
        <v>0</v>
      </c>
      <c r="G121" s="134">
        <v>0</v>
      </c>
    </row>
    <row r="122" spans="1:7" outlineLevel="2" x14ac:dyDescent="0.25">
      <c r="A122" s="672"/>
      <c r="B122" s="673"/>
      <c r="C122" s="673"/>
      <c r="D122" s="80" t="s">
        <v>29</v>
      </c>
      <c r="E122" s="84">
        <f t="shared" si="4"/>
        <v>0</v>
      </c>
      <c r="F122" s="134">
        <v>0</v>
      </c>
      <c r="G122" s="134">
        <v>0</v>
      </c>
    </row>
    <row r="123" spans="1:7" outlineLevel="2" x14ac:dyDescent="0.25">
      <c r="A123" s="672"/>
      <c r="B123" s="673"/>
      <c r="C123" s="673"/>
      <c r="D123" s="80" t="s">
        <v>30</v>
      </c>
      <c r="E123" s="84">
        <f t="shared" si="4"/>
        <v>0</v>
      </c>
      <c r="F123" s="134">
        <v>0</v>
      </c>
      <c r="G123" s="134">
        <v>0</v>
      </c>
    </row>
    <row r="124" spans="1:7" outlineLevel="2" x14ac:dyDescent="0.25">
      <c r="A124" s="672"/>
      <c r="B124" s="673"/>
      <c r="C124" s="673"/>
      <c r="D124" s="80" t="s">
        <v>31</v>
      </c>
      <c r="E124" s="84">
        <f t="shared" si="4"/>
        <v>0</v>
      </c>
      <c r="F124" s="134">
        <v>0</v>
      </c>
      <c r="G124" s="134">
        <v>0</v>
      </c>
    </row>
    <row r="125" spans="1:7" outlineLevel="2" x14ac:dyDescent="0.25">
      <c r="A125" s="672"/>
      <c r="B125" s="673"/>
      <c r="C125" s="673"/>
      <c r="D125" s="80" t="s">
        <v>32</v>
      </c>
      <c r="E125" s="84">
        <f t="shared" si="4"/>
        <v>0</v>
      </c>
      <c r="F125" s="134">
        <v>0</v>
      </c>
      <c r="G125" s="134">
        <v>0</v>
      </c>
    </row>
    <row r="126" spans="1:7" outlineLevel="2" x14ac:dyDescent="0.25">
      <c r="A126" s="672"/>
      <c r="B126" s="673"/>
      <c r="C126" s="673"/>
      <c r="D126" s="80" t="s">
        <v>33</v>
      </c>
      <c r="E126" s="84">
        <f t="shared" si="4"/>
        <v>0</v>
      </c>
      <c r="F126" s="134">
        <v>0</v>
      </c>
      <c r="G126" s="134">
        <v>0</v>
      </c>
    </row>
    <row r="127" spans="1:7" outlineLevel="2" x14ac:dyDescent="0.25">
      <c r="A127" s="672"/>
      <c r="B127" s="673"/>
      <c r="C127" s="673"/>
      <c r="D127" s="80" t="s">
        <v>34</v>
      </c>
      <c r="E127" s="84">
        <f t="shared" si="4"/>
        <v>0</v>
      </c>
      <c r="F127" s="134">
        <v>0</v>
      </c>
      <c r="G127" s="134">
        <v>0</v>
      </c>
    </row>
    <row r="128" spans="1:7" ht="15.75" outlineLevel="2" thickBot="1" x14ac:dyDescent="0.3">
      <c r="A128" s="672"/>
      <c r="B128" s="673"/>
      <c r="C128" s="673"/>
      <c r="D128" s="81" t="s">
        <v>35</v>
      </c>
      <c r="E128" s="85">
        <f t="shared" si="4"/>
        <v>0</v>
      </c>
      <c r="F128" s="136">
        <v>0</v>
      </c>
      <c r="G128" s="136">
        <v>0</v>
      </c>
    </row>
  </sheetData>
  <mergeCells count="39">
    <mergeCell ref="A15:A24"/>
    <mergeCell ref="B15:B24"/>
    <mergeCell ref="C15:C24"/>
    <mergeCell ref="A1:D1"/>
    <mergeCell ref="A3:C3"/>
    <mergeCell ref="A5:A14"/>
    <mergeCell ref="B5:B14"/>
    <mergeCell ref="C5:C14"/>
    <mergeCell ref="A26:A35"/>
    <mergeCell ref="B26:B35"/>
    <mergeCell ref="C26:C35"/>
    <mergeCell ref="A36:A45"/>
    <mergeCell ref="B36:B45"/>
    <mergeCell ref="C36:C45"/>
    <mergeCell ref="A46:A55"/>
    <mergeCell ref="B46:B55"/>
    <mergeCell ref="C46:C55"/>
    <mergeCell ref="A56:C56"/>
    <mergeCell ref="A58:A67"/>
    <mergeCell ref="B58:B67"/>
    <mergeCell ref="C58:C67"/>
    <mergeCell ref="A68:A77"/>
    <mergeCell ref="B68:B77"/>
    <mergeCell ref="C68:C77"/>
    <mergeCell ref="A79:A88"/>
    <mergeCell ref="B79:B88"/>
    <mergeCell ref="C79:C88"/>
    <mergeCell ref="A89:A98"/>
    <mergeCell ref="B89:B98"/>
    <mergeCell ref="C89:C98"/>
    <mergeCell ref="A99:A108"/>
    <mergeCell ref="B99:B108"/>
    <mergeCell ref="C99:C108"/>
    <mergeCell ref="A109:A118"/>
    <mergeCell ref="B109:B118"/>
    <mergeCell ref="C109:C118"/>
    <mergeCell ref="A119:A128"/>
    <mergeCell ref="B119:B128"/>
    <mergeCell ref="C119:C128"/>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F84"/>
  <sheetViews>
    <sheetView zoomScale="85" zoomScaleNormal="85" workbookViewId="0">
      <selection activeCell="F1" sqref="F1"/>
    </sheetView>
  </sheetViews>
  <sheetFormatPr defaultColWidth="8.85546875" defaultRowHeight="15" outlineLevelRow="1" outlineLevelCol="1" x14ac:dyDescent="0.25"/>
  <cols>
    <col min="1" max="1" width="22.42578125" customWidth="1"/>
    <col min="2" max="2" width="23.28515625" customWidth="1"/>
    <col min="3" max="3" width="22.42578125" customWidth="1"/>
    <col min="5" max="5" width="17.85546875" customWidth="1"/>
    <col min="6" max="6" width="19.28515625" customWidth="1" outlineLevel="1"/>
  </cols>
  <sheetData>
    <row r="1" spans="1:6" ht="25.35" customHeight="1" thickBot="1" x14ac:dyDescent="0.4">
      <c r="A1" s="676" t="s">
        <v>97</v>
      </c>
      <c r="B1" s="676"/>
      <c r="C1" s="676"/>
      <c r="D1" s="677"/>
      <c r="E1" s="82" t="s">
        <v>36</v>
      </c>
      <c r="F1" s="412"/>
    </row>
    <row r="2" spans="1:6" ht="15.75" thickBot="1" x14ac:dyDescent="0.3">
      <c r="A2" s="52" t="s">
        <v>0</v>
      </c>
      <c r="B2" s="87" t="s">
        <v>74</v>
      </c>
      <c r="C2" s="87" t="s">
        <v>73</v>
      </c>
      <c r="D2" s="87" t="s">
        <v>22</v>
      </c>
      <c r="E2" s="25"/>
      <c r="F2" s="25"/>
    </row>
    <row r="3" spans="1:6" ht="15.75" thickBot="1" x14ac:dyDescent="0.3">
      <c r="A3" s="681" t="s">
        <v>87</v>
      </c>
      <c r="B3" s="681"/>
      <c r="C3" s="681"/>
      <c r="D3" s="86"/>
      <c r="E3" s="89">
        <f>SUM(E4:E33)</f>
        <v>0</v>
      </c>
      <c r="F3" s="90">
        <f>SUM(F4:F33)</f>
        <v>0</v>
      </c>
    </row>
    <row r="4" spans="1:6" outlineLevel="1" x14ac:dyDescent="0.25">
      <c r="A4" s="672" t="s">
        <v>89</v>
      </c>
      <c r="B4" s="672" t="s">
        <v>92</v>
      </c>
      <c r="C4" s="673">
        <v>713002</v>
      </c>
      <c r="D4" s="79" t="s">
        <v>26</v>
      </c>
      <c r="E4" s="83">
        <f t="shared" ref="E4:E33" si="0">SUM(F4:F4)</f>
        <v>0</v>
      </c>
      <c r="F4" s="132">
        <v>0</v>
      </c>
    </row>
    <row r="5" spans="1:6" outlineLevel="1" x14ac:dyDescent="0.25">
      <c r="A5" s="672"/>
      <c r="B5" s="673"/>
      <c r="C5" s="673"/>
      <c r="D5" s="80" t="s">
        <v>27</v>
      </c>
      <c r="E5" s="84">
        <f t="shared" si="0"/>
        <v>0</v>
      </c>
      <c r="F5" s="134">
        <v>0</v>
      </c>
    </row>
    <row r="6" spans="1:6" outlineLevel="1" x14ac:dyDescent="0.25">
      <c r="A6" s="672"/>
      <c r="B6" s="673"/>
      <c r="C6" s="673"/>
      <c r="D6" s="80" t="s">
        <v>28</v>
      </c>
      <c r="E6" s="84">
        <f t="shared" si="0"/>
        <v>0</v>
      </c>
      <c r="F6" s="134">
        <v>0</v>
      </c>
    </row>
    <row r="7" spans="1:6" outlineLevel="1" x14ac:dyDescent="0.25">
      <c r="A7" s="672"/>
      <c r="B7" s="673"/>
      <c r="C7" s="673"/>
      <c r="D7" s="80" t="s">
        <v>29</v>
      </c>
      <c r="E7" s="84">
        <f t="shared" si="0"/>
        <v>0</v>
      </c>
      <c r="F7" s="134">
        <v>0</v>
      </c>
    </row>
    <row r="8" spans="1:6" outlineLevel="1" x14ac:dyDescent="0.25">
      <c r="A8" s="672"/>
      <c r="B8" s="673"/>
      <c r="C8" s="673"/>
      <c r="D8" s="80" t="s">
        <v>30</v>
      </c>
      <c r="E8" s="84">
        <f t="shared" si="0"/>
        <v>0</v>
      </c>
      <c r="F8" s="134">
        <v>0</v>
      </c>
    </row>
    <row r="9" spans="1:6" outlineLevel="1" x14ac:dyDescent="0.25">
      <c r="A9" s="672"/>
      <c r="B9" s="673"/>
      <c r="C9" s="673"/>
      <c r="D9" s="80" t="s">
        <v>31</v>
      </c>
      <c r="E9" s="84">
        <f t="shared" si="0"/>
        <v>0</v>
      </c>
      <c r="F9" s="134">
        <v>0</v>
      </c>
    </row>
    <row r="10" spans="1:6" outlineLevel="1" x14ac:dyDescent="0.25">
      <c r="A10" s="672"/>
      <c r="B10" s="673"/>
      <c r="C10" s="673"/>
      <c r="D10" s="80" t="s">
        <v>32</v>
      </c>
      <c r="E10" s="84">
        <f t="shared" si="0"/>
        <v>0</v>
      </c>
      <c r="F10" s="134">
        <v>0</v>
      </c>
    </row>
    <row r="11" spans="1:6" outlineLevel="1" x14ac:dyDescent="0.25">
      <c r="A11" s="672"/>
      <c r="B11" s="673"/>
      <c r="C11" s="673"/>
      <c r="D11" s="80" t="s">
        <v>33</v>
      </c>
      <c r="E11" s="84">
        <f t="shared" si="0"/>
        <v>0</v>
      </c>
      <c r="F11" s="134">
        <v>0</v>
      </c>
    </row>
    <row r="12" spans="1:6" outlineLevel="1" x14ac:dyDescent="0.25">
      <c r="A12" s="672"/>
      <c r="B12" s="673"/>
      <c r="C12" s="673"/>
      <c r="D12" s="80" t="s">
        <v>34</v>
      </c>
      <c r="E12" s="84">
        <f t="shared" si="0"/>
        <v>0</v>
      </c>
      <c r="F12" s="134">
        <v>0</v>
      </c>
    </row>
    <row r="13" spans="1:6" ht="15.75" outlineLevel="1" thickBot="1" x14ac:dyDescent="0.3">
      <c r="A13" s="672"/>
      <c r="B13" s="673"/>
      <c r="C13" s="673"/>
      <c r="D13" s="81" t="s">
        <v>35</v>
      </c>
      <c r="E13" s="85">
        <f t="shared" si="0"/>
        <v>0</v>
      </c>
      <c r="F13" s="136">
        <v>0</v>
      </c>
    </row>
    <row r="14" spans="1:6" ht="15" customHeight="1" outlineLevel="1" x14ac:dyDescent="0.25">
      <c r="A14" s="672" t="s">
        <v>90</v>
      </c>
      <c r="B14" s="672" t="s">
        <v>114</v>
      </c>
      <c r="C14" s="673">
        <v>633002</v>
      </c>
      <c r="D14" s="79" t="s">
        <v>26</v>
      </c>
      <c r="E14" s="84">
        <f t="shared" si="0"/>
        <v>0</v>
      </c>
      <c r="F14" s="132">
        <v>0</v>
      </c>
    </row>
    <row r="15" spans="1:6" outlineLevel="1" x14ac:dyDescent="0.25">
      <c r="A15" s="672"/>
      <c r="B15" s="673"/>
      <c r="C15" s="673"/>
      <c r="D15" s="80" t="s">
        <v>27</v>
      </c>
      <c r="E15" s="84">
        <f t="shared" si="0"/>
        <v>0</v>
      </c>
      <c r="F15" s="134">
        <v>0</v>
      </c>
    </row>
    <row r="16" spans="1:6" outlineLevel="1" x14ac:dyDescent="0.25">
      <c r="A16" s="672"/>
      <c r="B16" s="673"/>
      <c r="C16" s="673"/>
      <c r="D16" s="80" t="s">
        <v>28</v>
      </c>
      <c r="E16" s="84">
        <f t="shared" si="0"/>
        <v>0</v>
      </c>
      <c r="F16" s="134">
        <v>0</v>
      </c>
    </row>
    <row r="17" spans="1:6" outlineLevel="1" x14ac:dyDescent="0.25">
      <c r="A17" s="672"/>
      <c r="B17" s="673"/>
      <c r="C17" s="673"/>
      <c r="D17" s="80" t="s">
        <v>29</v>
      </c>
      <c r="E17" s="84">
        <f t="shared" si="0"/>
        <v>0</v>
      </c>
      <c r="F17" s="134">
        <v>0</v>
      </c>
    </row>
    <row r="18" spans="1:6" outlineLevel="1" x14ac:dyDescent="0.25">
      <c r="A18" s="672"/>
      <c r="B18" s="673"/>
      <c r="C18" s="673"/>
      <c r="D18" s="80" t="s">
        <v>30</v>
      </c>
      <c r="E18" s="84">
        <f t="shared" si="0"/>
        <v>0</v>
      </c>
      <c r="F18" s="134">
        <v>0</v>
      </c>
    </row>
    <row r="19" spans="1:6" outlineLevel="1" x14ac:dyDescent="0.25">
      <c r="A19" s="672"/>
      <c r="B19" s="673"/>
      <c r="C19" s="673"/>
      <c r="D19" s="80" t="s">
        <v>31</v>
      </c>
      <c r="E19" s="84">
        <f t="shared" si="0"/>
        <v>0</v>
      </c>
      <c r="F19" s="134">
        <v>0</v>
      </c>
    </row>
    <row r="20" spans="1:6" outlineLevel="1" x14ac:dyDescent="0.25">
      <c r="A20" s="672"/>
      <c r="B20" s="673"/>
      <c r="C20" s="673"/>
      <c r="D20" s="80" t="s">
        <v>32</v>
      </c>
      <c r="E20" s="84">
        <f t="shared" si="0"/>
        <v>0</v>
      </c>
      <c r="F20" s="134">
        <v>0</v>
      </c>
    </row>
    <row r="21" spans="1:6" outlineLevel="1" x14ac:dyDescent="0.25">
      <c r="A21" s="672"/>
      <c r="B21" s="673"/>
      <c r="C21" s="673"/>
      <c r="D21" s="80" t="s">
        <v>33</v>
      </c>
      <c r="E21" s="84">
        <f t="shared" si="0"/>
        <v>0</v>
      </c>
      <c r="F21" s="134">
        <v>0</v>
      </c>
    </row>
    <row r="22" spans="1:6" outlineLevel="1" x14ac:dyDescent="0.25">
      <c r="A22" s="672"/>
      <c r="B22" s="673"/>
      <c r="C22" s="673"/>
      <c r="D22" s="80" t="s">
        <v>34</v>
      </c>
      <c r="E22" s="84">
        <f t="shared" si="0"/>
        <v>0</v>
      </c>
      <c r="F22" s="134">
        <v>0</v>
      </c>
    </row>
    <row r="23" spans="1:6" ht="15.75" outlineLevel="1" thickBot="1" x14ac:dyDescent="0.3">
      <c r="A23" s="672"/>
      <c r="B23" s="673"/>
      <c r="C23" s="673"/>
      <c r="D23" s="81" t="s">
        <v>35</v>
      </c>
      <c r="E23" s="85">
        <f t="shared" si="0"/>
        <v>0</v>
      </c>
      <c r="F23" s="136">
        <v>0</v>
      </c>
    </row>
    <row r="24" spans="1:6" outlineLevel="1" x14ac:dyDescent="0.25">
      <c r="A24" s="672" t="s">
        <v>91</v>
      </c>
      <c r="B24" s="673" t="s">
        <v>77</v>
      </c>
      <c r="C24" s="673">
        <v>637001</v>
      </c>
      <c r="D24" s="79" t="s">
        <v>26</v>
      </c>
      <c r="E24" s="84">
        <f t="shared" si="0"/>
        <v>0</v>
      </c>
      <c r="F24" s="132">
        <v>0</v>
      </c>
    </row>
    <row r="25" spans="1:6" outlineLevel="1" x14ac:dyDescent="0.25">
      <c r="A25" s="672"/>
      <c r="B25" s="673"/>
      <c r="C25" s="673"/>
      <c r="D25" s="80" t="s">
        <v>27</v>
      </c>
      <c r="E25" s="84">
        <f t="shared" si="0"/>
        <v>0</v>
      </c>
      <c r="F25" s="134">
        <v>0</v>
      </c>
    </row>
    <row r="26" spans="1:6" outlineLevel="1" x14ac:dyDescent="0.25">
      <c r="A26" s="672"/>
      <c r="B26" s="673"/>
      <c r="C26" s="673"/>
      <c r="D26" s="80" t="s">
        <v>28</v>
      </c>
      <c r="E26" s="84">
        <f t="shared" si="0"/>
        <v>0</v>
      </c>
      <c r="F26" s="134">
        <v>0</v>
      </c>
    </row>
    <row r="27" spans="1:6" outlineLevel="1" x14ac:dyDescent="0.25">
      <c r="A27" s="672"/>
      <c r="B27" s="673"/>
      <c r="C27" s="673"/>
      <c r="D27" s="80" t="s">
        <v>29</v>
      </c>
      <c r="E27" s="84">
        <f t="shared" si="0"/>
        <v>0</v>
      </c>
      <c r="F27" s="134">
        <v>0</v>
      </c>
    </row>
    <row r="28" spans="1:6" outlineLevel="1" x14ac:dyDescent="0.25">
      <c r="A28" s="672"/>
      <c r="B28" s="673"/>
      <c r="C28" s="673"/>
      <c r="D28" s="80" t="s">
        <v>30</v>
      </c>
      <c r="E28" s="84">
        <f t="shared" si="0"/>
        <v>0</v>
      </c>
      <c r="F28" s="134">
        <v>0</v>
      </c>
    </row>
    <row r="29" spans="1:6" outlineLevel="1" x14ac:dyDescent="0.25">
      <c r="A29" s="672"/>
      <c r="B29" s="673"/>
      <c r="C29" s="673"/>
      <c r="D29" s="80" t="s">
        <v>31</v>
      </c>
      <c r="E29" s="84">
        <f t="shared" si="0"/>
        <v>0</v>
      </c>
      <c r="F29" s="134">
        <v>0</v>
      </c>
    </row>
    <row r="30" spans="1:6" outlineLevel="1" x14ac:dyDescent="0.25">
      <c r="A30" s="672"/>
      <c r="B30" s="673"/>
      <c r="C30" s="673"/>
      <c r="D30" s="80" t="s">
        <v>32</v>
      </c>
      <c r="E30" s="84">
        <f t="shared" si="0"/>
        <v>0</v>
      </c>
      <c r="F30" s="134">
        <v>0</v>
      </c>
    </row>
    <row r="31" spans="1:6" outlineLevel="1" x14ac:dyDescent="0.25">
      <c r="A31" s="672"/>
      <c r="B31" s="673"/>
      <c r="C31" s="673"/>
      <c r="D31" s="80" t="s">
        <v>33</v>
      </c>
      <c r="E31" s="84">
        <f t="shared" si="0"/>
        <v>0</v>
      </c>
      <c r="F31" s="134">
        <v>0</v>
      </c>
    </row>
    <row r="32" spans="1:6" outlineLevel="1" x14ac:dyDescent="0.25">
      <c r="A32" s="672"/>
      <c r="B32" s="673"/>
      <c r="C32" s="673"/>
      <c r="D32" s="80" t="s">
        <v>34</v>
      </c>
      <c r="E32" s="84">
        <f t="shared" si="0"/>
        <v>0</v>
      </c>
      <c r="F32" s="134">
        <v>0</v>
      </c>
    </row>
    <row r="33" spans="1:6" ht="15.75" outlineLevel="1" thickBot="1" x14ac:dyDescent="0.3">
      <c r="A33" s="672"/>
      <c r="B33" s="673"/>
      <c r="C33" s="673"/>
      <c r="D33" s="81" t="s">
        <v>35</v>
      </c>
      <c r="E33" s="84">
        <f t="shared" si="0"/>
        <v>0</v>
      </c>
      <c r="F33" s="136">
        <v>0</v>
      </c>
    </row>
    <row r="34" spans="1:6" ht="15.75" thickBot="1" x14ac:dyDescent="0.3">
      <c r="A34" s="680" t="s">
        <v>88</v>
      </c>
      <c r="B34" s="680"/>
      <c r="C34" s="680"/>
      <c r="D34" s="88"/>
      <c r="E34" s="89">
        <f>SUM(E35:E84)</f>
        <v>0</v>
      </c>
      <c r="F34" s="90">
        <f>SUM(F35:F84)</f>
        <v>0</v>
      </c>
    </row>
    <row r="35" spans="1:6" outlineLevel="1" x14ac:dyDescent="0.25">
      <c r="A35" s="672" t="s">
        <v>93</v>
      </c>
      <c r="B35" s="673" t="s">
        <v>80</v>
      </c>
      <c r="C35" s="673">
        <v>635002</v>
      </c>
      <c r="D35" s="79" t="s">
        <v>26</v>
      </c>
      <c r="E35" s="83">
        <f t="shared" ref="E35:E66" si="1">SUM(F35:F35)</f>
        <v>0</v>
      </c>
      <c r="F35" s="132">
        <v>0</v>
      </c>
    </row>
    <row r="36" spans="1:6" outlineLevel="1" x14ac:dyDescent="0.25">
      <c r="A36" s="672"/>
      <c r="B36" s="673"/>
      <c r="C36" s="673"/>
      <c r="D36" s="80" t="s">
        <v>27</v>
      </c>
      <c r="E36" s="84">
        <f t="shared" si="1"/>
        <v>0</v>
      </c>
      <c r="F36" s="134">
        <v>0</v>
      </c>
    </row>
    <row r="37" spans="1:6" outlineLevel="1" x14ac:dyDescent="0.25">
      <c r="A37" s="672"/>
      <c r="B37" s="673"/>
      <c r="C37" s="673"/>
      <c r="D37" s="80" t="s">
        <v>28</v>
      </c>
      <c r="E37" s="84">
        <f t="shared" si="1"/>
        <v>0</v>
      </c>
      <c r="F37" s="134">
        <v>0</v>
      </c>
    </row>
    <row r="38" spans="1:6" outlineLevel="1" x14ac:dyDescent="0.25">
      <c r="A38" s="672"/>
      <c r="B38" s="673"/>
      <c r="C38" s="673"/>
      <c r="D38" s="80" t="s">
        <v>29</v>
      </c>
      <c r="E38" s="84">
        <f t="shared" si="1"/>
        <v>0</v>
      </c>
      <c r="F38" s="134">
        <v>0</v>
      </c>
    </row>
    <row r="39" spans="1:6" outlineLevel="1" x14ac:dyDescent="0.25">
      <c r="A39" s="672"/>
      <c r="B39" s="673"/>
      <c r="C39" s="673"/>
      <c r="D39" s="80" t="s">
        <v>30</v>
      </c>
      <c r="E39" s="84">
        <f t="shared" si="1"/>
        <v>0</v>
      </c>
      <c r="F39" s="134">
        <v>0</v>
      </c>
    </row>
    <row r="40" spans="1:6" outlineLevel="1" x14ac:dyDescent="0.25">
      <c r="A40" s="672"/>
      <c r="B40" s="673"/>
      <c r="C40" s="673"/>
      <c r="D40" s="80" t="s">
        <v>31</v>
      </c>
      <c r="E40" s="84">
        <f t="shared" si="1"/>
        <v>0</v>
      </c>
      <c r="F40" s="134">
        <v>0</v>
      </c>
    </row>
    <row r="41" spans="1:6" outlineLevel="1" x14ac:dyDescent="0.25">
      <c r="A41" s="672"/>
      <c r="B41" s="673"/>
      <c r="C41" s="673"/>
      <c r="D41" s="80" t="s">
        <v>32</v>
      </c>
      <c r="E41" s="84">
        <f t="shared" si="1"/>
        <v>0</v>
      </c>
      <c r="F41" s="134">
        <v>0</v>
      </c>
    </row>
    <row r="42" spans="1:6" outlineLevel="1" x14ac:dyDescent="0.25">
      <c r="A42" s="672"/>
      <c r="B42" s="673"/>
      <c r="C42" s="673"/>
      <c r="D42" s="80" t="s">
        <v>33</v>
      </c>
      <c r="E42" s="84">
        <f t="shared" si="1"/>
        <v>0</v>
      </c>
      <c r="F42" s="134">
        <v>0</v>
      </c>
    </row>
    <row r="43" spans="1:6" outlineLevel="1" x14ac:dyDescent="0.25">
      <c r="A43" s="672"/>
      <c r="B43" s="673"/>
      <c r="C43" s="673"/>
      <c r="D43" s="80" t="s">
        <v>34</v>
      </c>
      <c r="E43" s="84">
        <f t="shared" si="1"/>
        <v>0</v>
      </c>
      <c r="F43" s="134">
        <v>0</v>
      </c>
    </row>
    <row r="44" spans="1:6" ht="15.75" outlineLevel="1" thickBot="1" x14ac:dyDescent="0.3">
      <c r="A44" s="672"/>
      <c r="B44" s="673"/>
      <c r="C44" s="673"/>
      <c r="D44" s="81" t="s">
        <v>35</v>
      </c>
      <c r="E44" s="85">
        <f t="shared" si="1"/>
        <v>0</v>
      </c>
      <c r="F44" s="134">
        <v>0</v>
      </c>
    </row>
    <row r="45" spans="1:6" outlineLevel="1" x14ac:dyDescent="0.25">
      <c r="A45" s="672" t="s">
        <v>94</v>
      </c>
      <c r="B45" s="672" t="s">
        <v>92</v>
      </c>
      <c r="C45" s="673">
        <v>718002</v>
      </c>
      <c r="D45" s="79" t="s">
        <v>26</v>
      </c>
      <c r="E45" s="84">
        <f t="shared" si="1"/>
        <v>0</v>
      </c>
      <c r="F45" s="132">
        <v>0</v>
      </c>
    </row>
    <row r="46" spans="1:6" outlineLevel="1" x14ac:dyDescent="0.25">
      <c r="A46" s="672"/>
      <c r="B46" s="673"/>
      <c r="C46" s="673"/>
      <c r="D46" s="80" t="s">
        <v>27</v>
      </c>
      <c r="E46" s="84">
        <f t="shared" si="1"/>
        <v>0</v>
      </c>
      <c r="F46" s="134">
        <v>0</v>
      </c>
    </row>
    <row r="47" spans="1:6" outlineLevel="1" x14ac:dyDescent="0.25">
      <c r="A47" s="672"/>
      <c r="B47" s="673"/>
      <c r="C47" s="673"/>
      <c r="D47" s="80" t="s">
        <v>28</v>
      </c>
      <c r="E47" s="84">
        <f t="shared" si="1"/>
        <v>0</v>
      </c>
      <c r="F47" s="134">
        <v>0</v>
      </c>
    </row>
    <row r="48" spans="1:6" outlineLevel="1" x14ac:dyDescent="0.25">
      <c r="A48" s="672"/>
      <c r="B48" s="673"/>
      <c r="C48" s="673"/>
      <c r="D48" s="80" t="s">
        <v>29</v>
      </c>
      <c r="E48" s="84">
        <f t="shared" si="1"/>
        <v>0</v>
      </c>
      <c r="F48" s="134">
        <v>0</v>
      </c>
    </row>
    <row r="49" spans="1:6" outlineLevel="1" x14ac:dyDescent="0.25">
      <c r="A49" s="672"/>
      <c r="B49" s="673"/>
      <c r="C49" s="673"/>
      <c r="D49" s="80" t="s">
        <v>30</v>
      </c>
      <c r="E49" s="84">
        <f t="shared" si="1"/>
        <v>0</v>
      </c>
      <c r="F49" s="134">
        <v>0</v>
      </c>
    </row>
    <row r="50" spans="1:6" outlineLevel="1" x14ac:dyDescent="0.25">
      <c r="A50" s="672"/>
      <c r="B50" s="673"/>
      <c r="C50" s="673"/>
      <c r="D50" s="80" t="s">
        <v>31</v>
      </c>
      <c r="E50" s="84">
        <f t="shared" si="1"/>
        <v>0</v>
      </c>
      <c r="F50" s="134">
        <v>0</v>
      </c>
    </row>
    <row r="51" spans="1:6" outlineLevel="1" x14ac:dyDescent="0.25">
      <c r="A51" s="672"/>
      <c r="B51" s="673"/>
      <c r="C51" s="673"/>
      <c r="D51" s="80" t="s">
        <v>32</v>
      </c>
      <c r="E51" s="84">
        <f t="shared" si="1"/>
        <v>0</v>
      </c>
      <c r="F51" s="134">
        <v>0</v>
      </c>
    </row>
    <row r="52" spans="1:6" outlineLevel="1" x14ac:dyDescent="0.25">
      <c r="A52" s="672"/>
      <c r="B52" s="673"/>
      <c r="C52" s="673"/>
      <c r="D52" s="80" t="s">
        <v>33</v>
      </c>
      <c r="E52" s="84">
        <f t="shared" si="1"/>
        <v>0</v>
      </c>
      <c r="F52" s="134">
        <v>0</v>
      </c>
    </row>
    <row r="53" spans="1:6" outlineLevel="1" x14ac:dyDescent="0.25">
      <c r="A53" s="672"/>
      <c r="B53" s="673"/>
      <c r="C53" s="673"/>
      <c r="D53" s="80" t="s">
        <v>34</v>
      </c>
      <c r="E53" s="84">
        <f t="shared" si="1"/>
        <v>0</v>
      </c>
      <c r="F53" s="134">
        <v>0</v>
      </c>
    </row>
    <row r="54" spans="1:6" ht="15.75" outlineLevel="1" thickBot="1" x14ac:dyDescent="0.3">
      <c r="A54" s="672"/>
      <c r="B54" s="673"/>
      <c r="C54" s="673"/>
      <c r="D54" s="81" t="s">
        <v>35</v>
      </c>
      <c r="E54" s="85">
        <f t="shared" si="1"/>
        <v>0</v>
      </c>
      <c r="F54" s="136">
        <v>0</v>
      </c>
    </row>
    <row r="55" spans="1:6" outlineLevel="1" x14ac:dyDescent="0.25">
      <c r="A55" s="672" t="s">
        <v>95</v>
      </c>
      <c r="B55" s="673"/>
      <c r="C55" s="673"/>
      <c r="D55" s="79" t="s">
        <v>26</v>
      </c>
      <c r="E55" s="84">
        <f t="shared" si="1"/>
        <v>0</v>
      </c>
      <c r="F55" s="132">
        <v>0</v>
      </c>
    </row>
    <row r="56" spans="1:6" outlineLevel="1" x14ac:dyDescent="0.25">
      <c r="A56" s="672"/>
      <c r="B56" s="673"/>
      <c r="C56" s="673"/>
      <c r="D56" s="80" t="s">
        <v>27</v>
      </c>
      <c r="E56" s="84">
        <f t="shared" si="1"/>
        <v>0</v>
      </c>
      <c r="F56" s="134">
        <v>0</v>
      </c>
    </row>
    <row r="57" spans="1:6" outlineLevel="1" x14ac:dyDescent="0.25">
      <c r="A57" s="672"/>
      <c r="B57" s="673"/>
      <c r="C57" s="673"/>
      <c r="D57" s="80" t="s">
        <v>28</v>
      </c>
      <c r="E57" s="84">
        <f t="shared" si="1"/>
        <v>0</v>
      </c>
      <c r="F57" s="134">
        <v>0</v>
      </c>
    </row>
    <row r="58" spans="1:6" outlineLevel="1" x14ac:dyDescent="0.25">
      <c r="A58" s="672"/>
      <c r="B58" s="673"/>
      <c r="C58" s="673"/>
      <c r="D58" s="80" t="s">
        <v>29</v>
      </c>
      <c r="E58" s="84">
        <f t="shared" si="1"/>
        <v>0</v>
      </c>
      <c r="F58" s="134">
        <v>0</v>
      </c>
    </row>
    <row r="59" spans="1:6" outlineLevel="1" x14ac:dyDescent="0.25">
      <c r="A59" s="672"/>
      <c r="B59" s="673"/>
      <c r="C59" s="673"/>
      <c r="D59" s="80" t="s">
        <v>30</v>
      </c>
      <c r="E59" s="84">
        <f t="shared" si="1"/>
        <v>0</v>
      </c>
      <c r="F59" s="134">
        <v>0</v>
      </c>
    </row>
    <row r="60" spans="1:6" outlineLevel="1" x14ac:dyDescent="0.25">
      <c r="A60" s="672"/>
      <c r="B60" s="673"/>
      <c r="C60" s="673"/>
      <c r="D60" s="80" t="s">
        <v>31</v>
      </c>
      <c r="E60" s="84">
        <f t="shared" si="1"/>
        <v>0</v>
      </c>
      <c r="F60" s="134">
        <v>0</v>
      </c>
    </row>
    <row r="61" spans="1:6" outlineLevel="1" x14ac:dyDescent="0.25">
      <c r="A61" s="672"/>
      <c r="B61" s="673"/>
      <c r="C61" s="673"/>
      <c r="D61" s="80" t="s">
        <v>32</v>
      </c>
      <c r="E61" s="84">
        <f t="shared" si="1"/>
        <v>0</v>
      </c>
      <c r="F61" s="134">
        <v>0</v>
      </c>
    </row>
    <row r="62" spans="1:6" outlineLevel="1" x14ac:dyDescent="0.25">
      <c r="A62" s="672"/>
      <c r="B62" s="673"/>
      <c r="C62" s="673"/>
      <c r="D62" s="80" t="s">
        <v>33</v>
      </c>
      <c r="E62" s="84">
        <f t="shared" si="1"/>
        <v>0</v>
      </c>
      <c r="F62" s="134">
        <v>0</v>
      </c>
    </row>
    <row r="63" spans="1:6" outlineLevel="1" x14ac:dyDescent="0.25">
      <c r="A63" s="672"/>
      <c r="B63" s="673"/>
      <c r="C63" s="673"/>
      <c r="D63" s="80" t="s">
        <v>34</v>
      </c>
      <c r="E63" s="84">
        <f t="shared" si="1"/>
        <v>0</v>
      </c>
      <c r="F63" s="134">
        <v>0</v>
      </c>
    </row>
    <row r="64" spans="1:6" ht="15.75" outlineLevel="1" thickBot="1" x14ac:dyDescent="0.3">
      <c r="A64" s="672"/>
      <c r="B64" s="673"/>
      <c r="C64" s="673"/>
      <c r="D64" s="81" t="s">
        <v>35</v>
      </c>
      <c r="E64" s="85">
        <f t="shared" si="1"/>
        <v>0</v>
      </c>
      <c r="F64" s="136">
        <v>0</v>
      </c>
    </row>
    <row r="65" spans="1:6" outlineLevel="1" x14ac:dyDescent="0.25">
      <c r="A65" s="672" t="s">
        <v>96</v>
      </c>
      <c r="B65" s="673"/>
      <c r="C65" s="673"/>
      <c r="D65" s="79" t="s">
        <v>26</v>
      </c>
      <c r="E65" s="84">
        <f t="shared" si="1"/>
        <v>0</v>
      </c>
      <c r="F65" s="132">
        <v>0</v>
      </c>
    </row>
    <row r="66" spans="1:6" outlineLevel="1" x14ac:dyDescent="0.25">
      <c r="A66" s="672"/>
      <c r="B66" s="673"/>
      <c r="C66" s="673"/>
      <c r="D66" s="80" t="s">
        <v>27</v>
      </c>
      <c r="E66" s="84">
        <f t="shared" si="1"/>
        <v>0</v>
      </c>
      <c r="F66" s="134">
        <v>0</v>
      </c>
    </row>
    <row r="67" spans="1:6" outlineLevel="1" x14ac:dyDescent="0.25">
      <c r="A67" s="672"/>
      <c r="B67" s="673"/>
      <c r="C67" s="673"/>
      <c r="D67" s="80" t="s">
        <v>28</v>
      </c>
      <c r="E67" s="84">
        <f t="shared" ref="E67:E84" si="2">SUM(F67:F67)</f>
        <v>0</v>
      </c>
      <c r="F67" s="134">
        <v>0</v>
      </c>
    </row>
    <row r="68" spans="1:6" outlineLevel="1" x14ac:dyDescent="0.25">
      <c r="A68" s="672"/>
      <c r="B68" s="673"/>
      <c r="C68" s="673"/>
      <c r="D68" s="80" t="s">
        <v>29</v>
      </c>
      <c r="E68" s="84">
        <f t="shared" si="2"/>
        <v>0</v>
      </c>
      <c r="F68" s="134">
        <v>0</v>
      </c>
    </row>
    <row r="69" spans="1:6" outlineLevel="1" x14ac:dyDescent="0.25">
      <c r="A69" s="672"/>
      <c r="B69" s="673"/>
      <c r="C69" s="673"/>
      <c r="D69" s="80" t="s">
        <v>30</v>
      </c>
      <c r="E69" s="84">
        <f t="shared" si="2"/>
        <v>0</v>
      </c>
      <c r="F69" s="134">
        <v>0</v>
      </c>
    </row>
    <row r="70" spans="1:6" outlineLevel="1" x14ac:dyDescent="0.25">
      <c r="A70" s="672"/>
      <c r="B70" s="673"/>
      <c r="C70" s="673"/>
      <c r="D70" s="80" t="s">
        <v>31</v>
      </c>
      <c r="E70" s="84">
        <f t="shared" si="2"/>
        <v>0</v>
      </c>
      <c r="F70" s="134">
        <v>0</v>
      </c>
    </row>
    <row r="71" spans="1:6" outlineLevel="1" x14ac:dyDescent="0.25">
      <c r="A71" s="672"/>
      <c r="B71" s="673"/>
      <c r="C71" s="673"/>
      <c r="D71" s="80" t="s">
        <v>32</v>
      </c>
      <c r="E71" s="84">
        <f t="shared" si="2"/>
        <v>0</v>
      </c>
      <c r="F71" s="134">
        <v>0</v>
      </c>
    </row>
    <row r="72" spans="1:6" outlineLevel="1" x14ac:dyDescent="0.25">
      <c r="A72" s="672"/>
      <c r="B72" s="673"/>
      <c r="C72" s="673"/>
      <c r="D72" s="80" t="s">
        <v>33</v>
      </c>
      <c r="E72" s="84">
        <f t="shared" si="2"/>
        <v>0</v>
      </c>
      <c r="F72" s="134">
        <v>0</v>
      </c>
    </row>
    <row r="73" spans="1:6" outlineLevel="1" x14ac:dyDescent="0.25">
      <c r="A73" s="672"/>
      <c r="B73" s="673"/>
      <c r="C73" s="673"/>
      <c r="D73" s="80" t="s">
        <v>34</v>
      </c>
      <c r="E73" s="84">
        <f t="shared" si="2"/>
        <v>0</v>
      </c>
      <c r="F73" s="134">
        <v>0</v>
      </c>
    </row>
    <row r="74" spans="1:6" ht="15.75" outlineLevel="1" thickBot="1" x14ac:dyDescent="0.3">
      <c r="A74" s="672"/>
      <c r="B74" s="673"/>
      <c r="C74" s="673"/>
      <c r="D74" s="81" t="s">
        <v>35</v>
      </c>
      <c r="E74" s="85">
        <f t="shared" si="2"/>
        <v>0</v>
      </c>
      <c r="F74" s="136">
        <v>0</v>
      </c>
    </row>
    <row r="75" spans="1:6" outlineLevel="1" x14ac:dyDescent="0.25">
      <c r="A75" s="672" t="s">
        <v>91</v>
      </c>
      <c r="B75" s="673" t="s">
        <v>77</v>
      </c>
      <c r="C75" s="673">
        <v>637001</v>
      </c>
      <c r="D75" s="79" t="s">
        <v>26</v>
      </c>
      <c r="E75" s="84">
        <f t="shared" si="2"/>
        <v>0</v>
      </c>
      <c r="F75" s="132">
        <v>0</v>
      </c>
    </row>
    <row r="76" spans="1:6" outlineLevel="1" x14ac:dyDescent="0.25">
      <c r="A76" s="672"/>
      <c r="B76" s="673"/>
      <c r="C76" s="673"/>
      <c r="D76" s="80" t="s">
        <v>27</v>
      </c>
      <c r="E76" s="84">
        <f t="shared" si="2"/>
        <v>0</v>
      </c>
      <c r="F76" s="134">
        <v>0</v>
      </c>
    </row>
    <row r="77" spans="1:6" outlineLevel="1" x14ac:dyDescent="0.25">
      <c r="A77" s="672"/>
      <c r="B77" s="673"/>
      <c r="C77" s="673"/>
      <c r="D77" s="80" t="s">
        <v>28</v>
      </c>
      <c r="E77" s="84">
        <f t="shared" si="2"/>
        <v>0</v>
      </c>
      <c r="F77" s="134">
        <v>0</v>
      </c>
    </row>
    <row r="78" spans="1:6" outlineLevel="1" x14ac:dyDescent="0.25">
      <c r="A78" s="672"/>
      <c r="B78" s="673"/>
      <c r="C78" s="673"/>
      <c r="D78" s="80" t="s">
        <v>29</v>
      </c>
      <c r="E78" s="84">
        <f t="shared" si="2"/>
        <v>0</v>
      </c>
      <c r="F78" s="134">
        <v>0</v>
      </c>
    </row>
    <row r="79" spans="1:6" outlineLevel="1" x14ac:dyDescent="0.25">
      <c r="A79" s="672"/>
      <c r="B79" s="673"/>
      <c r="C79" s="673"/>
      <c r="D79" s="80" t="s">
        <v>30</v>
      </c>
      <c r="E79" s="84">
        <f t="shared" si="2"/>
        <v>0</v>
      </c>
      <c r="F79" s="134">
        <v>0</v>
      </c>
    </row>
    <row r="80" spans="1:6" outlineLevel="1" x14ac:dyDescent="0.25">
      <c r="A80" s="672"/>
      <c r="B80" s="673"/>
      <c r="C80" s="673"/>
      <c r="D80" s="80" t="s">
        <v>31</v>
      </c>
      <c r="E80" s="84">
        <f t="shared" si="2"/>
        <v>0</v>
      </c>
      <c r="F80" s="134">
        <v>0</v>
      </c>
    </row>
    <row r="81" spans="1:6" outlineLevel="1" x14ac:dyDescent="0.25">
      <c r="A81" s="672"/>
      <c r="B81" s="673"/>
      <c r="C81" s="673"/>
      <c r="D81" s="80" t="s">
        <v>32</v>
      </c>
      <c r="E81" s="84">
        <f t="shared" si="2"/>
        <v>0</v>
      </c>
      <c r="F81" s="134">
        <v>0</v>
      </c>
    </row>
    <row r="82" spans="1:6" outlineLevel="1" x14ac:dyDescent="0.25">
      <c r="A82" s="672"/>
      <c r="B82" s="673"/>
      <c r="C82" s="673"/>
      <c r="D82" s="80" t="s">
        <v>33</v>
      </c>
      <c r="E82" s="84">
        <f t="shared" si="2"/>
        <v>0</v>
      </c>
      <c r="F82" s="134">
        <v>0</v>
      </c>
    </row>
    <row r="83" spans="1:6" outlineLevel="1" x14ac:dyDescent="0.25">
      <c r="A83" s="672"/>
      <c r="B83" s="673"/>
      <c r="C83" s="673"/>
      <c r="D83" s="80" t="s">
        <v>34</v>
      </c>
      <c r="E83" s="84">
        <f t="shared" si="2"/>
        <v>0</v>
      </c>
      <c r="F83" s="134">
        <v>0</v>
      </c>
    </row>
    <row r="84" spans="1:6" ht="15.75" outlineLevel="1" thickBot="1" x14ac:dyDescent="0.3">
      <c r="A84" s="672"/>
      <c r="B84" s="673"/>
      <c r="C84" s="673"/>
      <c r="D84" s="81" t="s">
        <v>35</v>
      </c>
      <c r="E84" s="85">
        <f t="shared" si="2"/>
        <v>0</v>
      </c>
      <c r="F84" s="136">
        <v>0</v>
      </c>
    </row>
  </sheetData>
  <mergeCells count="27">
    <mergeCell ref="A14:A23"/>
    <mergeCell ref="B14:B23"/>
    <mergeCell ref="C14:C23"/>
    <mergeCell ref="A1:D1"/>
    <mergeCell ref="A3:C3"/>
    <mergeCell ref="A4:A13"/>
    <mergeCell ref="B4:B13"/>
    <mergeCell ref="C4:C13"/>
    <mergeCell ref="A24:A33"/>
    <mergeCell ref="B24:B33"/>
    <mergeCell ref="C24:C33"/>
    <mergeCell ref="A34:C34"/>
    <mergeCell ref="A35:A44"/>
    <mergeCell ref="B35:B44"/>
    <mergeCell ref="C35:C44"/>
    <mergeCell ref="A45:A54"/>
    <mergeCell ref="B45:B54"/>
    <mergeCell ref="C45:C54"/>
    <mergeCell ref="A55:A64"/>
    <mergeCell ref="B55:B64"/>
    <mergeCell ref="C55:C64"/>
    <mergeCell ref="A65:A74"/>
    <mergeCell ref="B65:B74"/>
    <mergeCell ref="C65:C74"/>
    <mergeCell ref="A75:A84"/>
    <mergeCell ref="B75:B84"/>
    <mergeCell ref="C75:C8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13482-7FFD-423C-82A8-DFD7C5B872E6}">
  <sheetPr codeName="Sheet10">
    <outlinePr summaryBelow="0" summaryRight="0"/>
  </sheetPr>
  <dimension ref="A1:AC133"/>
  <sheetViews>
    <sheetView topLeftCell="A46" zoomScale="70" zoomScaleNormal="70" workbookViewId="0">
      <selection activeCell="F84" sqref="F84:G93"/>
    </sheetView>
  </sheetViews>
  <sheetFormatPr defaultRowHeight="15" outlineLevelRow="2" outlineLevelCol="1" x14ac:dyDescent="0.25"/>
  <cols>
    <col min="1" max="1" width="30.7109375" customWidth="1"/>
    <col min="2" max="2" width="23.28515625" customWidth="1"/>
    <col min="3" max="3" width="22.5703125" customWidth="1"/>
    <col min="5" max="5" width="17.85546875" customWidth="1"/>
    <col min="6" max="11" width="19.28515625" customWidth="1" outlineLevel="1"/>
    <col min="12" max="12" width="23.42578125" customWidth="1" outlineLevel="1"/>
    <col min="13" max="17" width="19.28515625" customWidth="1" outlineLevel="1"/>
    <col min="18" max="18" width="19.140625" customWidth="1" outlineLevel="1"/>
    <col min="19" max="19" width="3.5703125" hidden="1" customWidth="1" outlineLevel="1"/>
    <col min="20" max="28" width="19.28515625" customWidth="1" outlineLevel="1"/>
    <col min="29" max="29" width="20.85546875" customWidth="1"/>
  </cols>
  <sheetData>
    <row r="1" spans="1:28" ht="103.5" customHeight="1" thickBot="1" x14ac:dyDescent="0.4">
      <c r="A1" s="676" t="s">
        <v>98</v>
      </c>
      <c r="B1" s="676"/>
      <c r="C1" s="676"/>
      <c r="D1" s="677"/>
      <c r="E1" s="82" t="s">
        <v>36</v>
      </c>
      <c r="F1" s="82" t="s">
        <v>355</v>
      </c>
      <c r="G1" s="447" t="s">
        <v>356</v>
      </c>
      <c r="H1" s="447" t="s">
        <v>270</v>
      </c>
      <c r="I1" s="447" t="s">
        <v>337</v>
      </c>
      <c r="J1" s="447" t="s">
        <v>338</v>
      </c>
      <c r="K1" s="447" t="s">
        <v>336</v>
      </c>
      <c r="L1" s="447" t="s">
        <v>339</v>
      </c>
      <c r="M1" s="447" t="s">
        <v>340</v>
      </c>
      <c r="N1" s="447" t="s">
        <v>341</v>
      </c>
      <c r="O1" s="447" t="s">
        <v>342</v>
      </c>
      <c r="P1" s="447" t="s">
        <v>343</v>
      </c>
      <c r="Q1" s="447" t="s">
        <v>344</v>
      </c>
      <c r="R1" s="447" t="s">
        <v>345</v>
      </c>
      <c r="S1" s="447"/>
      <c r="T1" s="447" t="s">
        <v>346</v>
      </c>
      <c r="U1" s="447" t="s">
        <v>347</v>
      </c>
      <c r="V1" s="447" t="s">
        <v>348</v>
      </c>
      <c r="W1" s="447" t="s">
        <v>349</v>
      </c>
      <c r="X1" s="447" t="s">
        <v>350</v>
      </c>
      <c r="Y1" s="447" t="s">
        <v>351</v>
      </c>
      <c r="Z1" s="447" t="s">
        <v>352</v>
      </c>
      <c r="AA1" s="447" t="s">
        <v>353</v>
      </c>
      <c r="AB1" s="447" t="s">
        <v>354</v>
      </c>
    </row>
    <row r="2" spans="1:28" ht="15.75" thickBot="1" x14ac:dyDescent="0.3">
      <c r="A2" s="52" t="s">
        <v>0</v>
      </c>
      <c r="B2" s="87" t="s">
        <v>74</v>
      </c>
      <c r="C2" s="87" t="s">
        <v>73</v>
      </c>
      <c r="D2" s="87" t="s">
        <v>22</v>
      </c>
      <c r="E2" s="25"/>
      <c r="F2" s="25"/>
      <c r="G2" s="25"/>
      <c r="H2" s="25"/>
      <c r="I2" s="25"/>
      <c r="J2" s="25"/>
      <c r="K2" s="25"/>
      <c r="L2" s="25"/>
      <c r="M2" s="25"/>
      <c r="N2" s="25"/>
      <c r="O2" s="25"/>
      <c r="P2" s="25"/>
      <c r="Q2" s="25"/>
      <c r="R2" s="25"/>
      <c r="S2" s="25"/>
      <c r="T2" s="25"/>
      <c r="U2" s="25"/>
      <c r="V2" s="25"/>
      <c r="W2" s="25"/>
      <c r="X2" s="25"/>
      <c r="Y2" s="25"/>
      <c r="Z2" s="25"/>
      <c r="AA2" s="25"/>
      <c r="AB2" s="25"/>
    </row>
    <row r="3" spans="1:28" ht="15.75" thickBot="1" x14ac:dyDescent="0.3">
      <c r="A3" s="678" t="s">
        <v>118</v>
      </c>
      <c r="B3" s="679"/>
      <c r="C3" s="679"/>
      <c r="D3" s="91"/>
      <c r="E3" s="89">
        <f>E4+E25</f>
        <v>5349512.2600000007</v>
      </c>
      <c r="F3" s="90"/>
      <c r="G3" s="90"/>
      <c r="H3" s="90">
        <f>H4+H25</f>
        <v>387884.23554180405</v>
      </c>
      <c r="I3" s="90">
        <f>I4+I25</f>
        <v>171539.84537664932</v>
      </c>
      <c r="J3" s="90">
        <f t="shared" ref="J3:AB3" si="0">J4+J25</f>
        <v>0</v>
      </c>
      <c r="K3" s="90">
        <f t="shared" si="0"/>
        <v>434088.73131360434</v>
      </c>
      <c r="L3" s="90">
        <f t="shared" si="0"/>
        <v>459679.10168946517</v>
      </c>
      <c r="M3" s="90">
        <f t="shared" si="0"/>
        <v>388972.40704846988</v>
      </c>
      <c r="N3" s="90">
        <f t="shared" si="0"/>
        <v>477303.81210360909</v>
      </c>
      <c r="O3" s="90">
        <f t="shared" si="0"/>
        <v>577360.57080922637</v>
      </c>
      <c r="P3" s="90">
        <f t="shared" si="0"/>
        <v>569303.21100144216</v>
      </c>
      <c r="Q3" s="90">
        <f t="shared" si="0"/>
        <v>386105.25852809759</v>
      </c>
      <c r="R3" s="90">
        <f t="shared" si="0"/>
        <v>0</v>
      </c>
      <c r="S3" s="90">
        <f t="shared" si="0"/>
        <v>0</v>
      </c>
      <c r="T3" s="90">
        <f t="shared" si="0"/>
        <v>0</v>
      </c>
      <c r="U3" s="90">
        <f t="shared" si="0"/>
        <v>0</v>
      </c>
      <c r="V3" s="90">
        <f t="shared" si="0"/>
        <v>0</v>
      </c>
      <c r="W3" s="90">
        <f t="shared" si="0"/>
        <v>166893.71984257043</v>
      </c>
      <c r="X3" s="90">
        <f t="shared" si="0"/>
        <v>0</v>
      </c>
      <c r="Y3" s="90">
        <f t="shared" si="0"/>
        <v>0</v>
      </c>
      <c r="Z3" s="90">
        <f t="shared" si="0"/>
        <v>45299.723957269125</v>
      </c>
      <c r="AA3" s="90">
        <f t="shared" si="0"/>
        <v>434620.59042079496</v>
      </c>
      <c r="AB3" s="90">
        <f t="shared" si="0"/>
        <v>850461.05236699746</v>
      </c>
    </row>
    <row r="4" spans="1:28" ht="15.75" outlineLevel="1" collapsed="1" thickBot="1" x14ac:dyDescent="0.3">
      <c r="A4" s="25" t="s">
        <v>105</v>
      </c>
      <c r="B4" s="25"/>
      <c r="C4" s="25"/>
      <c r="D4" s="36"/>
      <c r="E4" s="89">
        <f>SUM(E5:E24)</f>
        <v>0</v>
      </c>
      <c r="F4" s="90"/>
      <c r="G4" s="90"/>
      <c r="H4" s="90">
        <f>SUM(H5:H24)</f>
        <v>0</v>
      </c>
      <c r="I4" s="90">
        <f>SUM(I5:I24)</f>
        <v>0</v>
      </c>
      <c r="J4" s="90">
        <f t="shared" ref="J4:AB4" si="1">SUM(J5:J24)</f>
        <v>0</v>
      </c>
      <c r="K4" s="90">
        <f t="shared" si="1"/>
        <v>0</v>
      </c>
      <c r="L4" s="90">
        <f t="shared" si="1"/>
        <v>0</v>
      </c>
      <c r="M4" s="90">
        <f t="shared" si="1"/>
        <v>0</v>
      </c>
      <c r="N4" s="90">
        <f t="shared" si="1"/>
        <v>0</v>
      </c>
      <c r="O4" s="90">
        <f t="shared" si="1"/>
        <v>0</v>
      </c>
      <c r="P4" s="90">
        <f t="shared" si="1"/>
        <v>0</v>
      </c>
      <c r="Q4" s="90">
        <f t="shared" si="1"/>
        <v>0</v>
      </c>
      <c r="R4" s="90">
        <f t="shared" si="1"/>
        <v>0</v>
      </c>
      <c r="S4" s="90">
        <f t="shared" si="1"/>
        <v>0</v>
      </c>
      <c r="T4" s="90">
        <f t="shared" si="1"/>
        <v>0</v>
      </c>
      <c r="U4" s="90">
        <f t="shared" si="1"/>
        <v>0</v>
      </c>
      <c r="V4" s="90">
        <f t="shared" si="1"/>
        <v>0</v>
      </c>
      <c r="W4" s="90">
        <f t="shared" si="1"/>
        <v>0</v>
      </c>
      <c r="X4" s="90">
        <f t="shared" si="1"/>
        <v>0</v>
      </c>
      <c r="Y4" s="90">
        <f t="shared" si="1"/>
        <v>0</v>
      </c>
      <c r="Z4" s="90">
        <f t="shared" si="1"/>
        <v>0</v>
      </c>
      <c r="AA4" s="90">
        <f t="shared" si="1"/>
        <v>0</v>
      </c>
      <c r="AB4" s="90">
        <f t="shared" si="1"/>
        <v>0</v>
      </c>
    </row>
    <row r="5" spans="1:28" hidden="1" outlineLevel="2" x14ac:dyDescent="0.25">
      <c r="A5" s="672" t="s">
        <v>71</v>
      </c>
      <c r="B5" s="673" t="s">
        <v>72</v>
      </c>
      <c r="C5" s="673">
        <v>711003</v>
      </c>
      <c r="D5" s="79" t="s">
        <v>26</v>
      </c>
      <c r="E5" s="76">
        <f t="shared" ref="E5:E24" si="2">SUM(H5:AB5)</f>
        <v>0</v>
      </c>
      <c r="F5" s="138"/>
      <c r="G5" s="138"/>
      <c r="H5" s="138"/>
      <c r="I5" s="139"/>
      <c r="J5" s="316"/>
      <c r="K5" s="316"/>
      <c r="L5" s="316"/>
      <c r="M5" s="316"/>
      <c r="N5" s="316"/>
      <c r="O5" s="316"/>
      <c r="P5" s="316"/>
      <c r="Q5" s="316"/>
      <c r="R5" s="316"/>
      <c r="S5" s="316"/>
      <c r="T5" s="316"/>
      <c r="U5" s="316"/>
      <c r="V5" s="316"/>
      <c r="W5" s="316"/>
      <c r="X5" s="316"/>
      <c r="Y5" s="316"/>
      <c r="Z5" s="316"/>
      <c r="AA5" s="316"/>
      <c r="AB5" s="316"/>
    </row>
    <row r="6" spans="1:28" hidden="1" outlineLevel="2" x14ac:dyDescent="0.25">
      <c r="A6" s="672"/>
      <c r="B6" s="673"/>
      <c r="C6" s="673"/>
      <c r="D6" s="80" t="s">
        <v>27</v>
      </c>
      <c r="E6" s="77">
        <f t="shared" si="2"/>
        <v>0</v>
      </c>
      <c r="F6" s="140"/>
      <c r="G6" s="140"/>
      <c r="H6" s="140"/>
      <c r="I6" s="141"/>
      <c r="J6" s="317"/>
      <c r="K6" s="317"/>
      <c r="L6" s="317"/>
      <c r="M6" s="317"/>
      <c r="N6" s="317"/>
      <c r="O6" s="317"/>
      <c r="P6" s="317"/>
      <c r="Q6" s="317"/>
      <c r="R6" s="317"/>
      <c r="S6" s="317"/>
      <c r="T6" s="317"/>
      <c r="U6" s="317"/>
      <c r="V6" s="317"/>
      <c r="W6" s="317"/>
      <c r="X6" s="317"/>
      <c r="Y6" s="317"/>
      <c r="Z6" s="317"/>
      <c r="AA6" s="317"/>
      <c r="AB6" s="317"/>
    </row>
    <row r="7" spans="1:28" hidden="1" outlineLevel="2" x14ac:dyDescent="0.25">
      <c r="A7" s="672"/>
      <c r="B7" s="673"/>
      <c r="C7" s="673"/>
      <c r="D7" s="80" t="s">
        <v>28</v>
      </c>
      <c r="E7" s="77">
        <f t="shared" si="2"/>
        <v>0</v>
      </c>
      <c r="F7" s="140"/>
      <c r="G7" s="140"/>
      <c r="H7" s="140"/>
      <c r="I7" s="141"/>
      <c r="J7" s="317"/>
      <c r="K7" s="317"/>
      <c r="L7" s="317"/>
      <c r="M7" s="317"/>
      <c r="N7" s="317"/>
      <c r="O7" s="317"/>
      <c r="P7" s="317"/>
      <c r="Q7" s="317"/>
      <c r="R7" s="317"/>
      <c r="S7" s="317"/>
      <c r="T7" s="317"/>
      <c r="U7" s="317"/>
      <c r="V7" s="317"/>
      <c r="W7" s="317"/>
      <c r="X7" s="317"/>
      <c r="Y7" s="317"/>
      <c r="Z7" s="317"/>
      <c r="AA7" s="317"/>
      <c r="AB7" s="317"/>
    </row>
    <row r="8" spans="1:28" hidden="1" outlineLevel="2" x14ac:dyDescent="0.25">
      <c r="A8" s="672"/>
      <c r="B8" s="673"/>
      <c r="C8" s="673"/>
      <c r="D8" s="80" t="s">
        <v>29</v>
      </c>
      <c r="E8" s="77">
        <f t="shared" si="2"/>
        <v>0</v>
      </c>
      <c r="F8" s="140"/>
      <c r="G8" s="140"/>
      <c r="H8" s="140"/>
      <c r="I8" s="141"/>
      <c r="J8" s="317"/>
      <c r="K8" s="317"/>
      <c r="L8" s="317"/>
      <c r="M8" s="317"/>
      <c r="N8" s="317"/>
      <c r="O8" s="317"/>
      <c r="P8" s="317"/>
      <c r="Q8" s="317"/>
      <c r="R8" s="317"/>
      <c r="S8" s="317"/>
      <c r="T8" s="317"/>
      <c r="U8" s="317"/>
      <c r="V8" s="317"/>
      <c r="W8" s="317"/>
      <c r="X8" s="317"/>
      <c r="Y8" s="317"/>
      <c r="Z8" s="317"/>
      <c r="AA8" s="317"/>
      <c r="AB8" s="317"/>
    </row>
    <row r="9" spans="1:28" hidden="1" outlineLevel="2" x14ac:dyDescent="0.25">
      <c r="A9" s="672"/>
      <c r="B9" s="673"/>
      <c r="C9" s="673"/>
      <c r="D9" s="80" t="s">
        <v>30</v>
      </c>
      <c r="E9" s="77">
        <f t="shared" si="2"/>
        <v>0</v>
      </c>
      <c r="F9" s="140"/>
      <c r="G9" s="140"/>
      <c r="H9" s="140"/>
      <c r="I9" s="141"/>
      <c r="J9" s="317"/>
      <c r="K9" s="317"/>
      <c r="L9" s="317"/>
      <c r="M9" s="317"/>
      <c r="N9" s="317"/>
      <c r="O9" s="317"/>
      <c r="P9" s="317"/>
      <c r="Q9" s="317"/>
      <c r="R9" s="317"/>
      <c r="S9" s="317"/>
      <c r="T9" s="317"/>
      <c r="U9" s="317"/>
      <c r="V9" s="317"/>
      <c r="W9" s="317"/>
      <c r="X9" s="317"/>
      <c r="Y9" s="317"/>
      <c r="Z9" s="317"/>
      <c r="AA9" s="317"/>
      <c r="AB9" s="317"/>
    </row>
    <row r="10" spans="1:28" hidden="1" outlineLevel="2" x14ac:dyDescent="0.25">
      <c r="A10" s="672"/>
      <c r="B10" s="673"/>
      <c r="C10" s="673"/>
      <c r="D10" s="80" t="s">
        <v>31</v>
      </c>
      <c r="E10" s="77">
        <f t="shared" si="2"/>
        <v>0</v>
      </c>
      <c r="F10" s="140"/>
      <c r="G10" s="140"/>
      <c r="H10" s="140"/>
      <c r="I10" s="141"/>
      <c r="J10" s="317"/>
      <c r="K10" s="317"/>
      <c r="L10" s="317"/>
      <c r="M10" s="317"/>
      <c r="N10" s="317"/>
      <c r="O10" s="317"/>
      <c r="P10" s="317"/>
      <c r="Q10" s="317"/>
      <c r="R10" s="317"/>
      <c r="S10" s="317"/>
      <c r="T10" s="317"/>
      <c r="U10" s="317"/>
      <c r="V10" s="317"/>
      <c r="W10" s="317"/>
      <c r="X10" s="317"/>
      <c r="Y10" s="317"/>
      <c r="Z10" s="317"/>
      <c r="AA10" s="317"/>
      <c r="AB10" s="317"/>
    </row>
    <row r="11" spans="1:28" hidden="1" outlineLevel="2" x14ac:dyDescent="0.25">
      <c r="A11" s="672"/>
      <c r="B11" s="673"/>
      <c r="C11" s="673"/>
      <c r="D11" s="80" t="s">
        <v>32</v>
      </c>
      <c r="E11" s="77">
        <f t="shared" si="2"/>
        <v>0</v>
      </c>
      <c r="F11" s="140"/>
      <c r="G11" s="140"/>
      <c r="H11" s="140"/>
      <c r="I11" s="141"/>
      <c r="J11" s="317"/>
      <c r="K11" s="317"/>
      <c r="L11" s="317"/>
      <c r="M11" s="317"/>
      <c r="N11" s="317"/>
      <c r="O11" s="317"/>
      <c r="P11" s="317"/>
      <c r="Q11" s="317"/>
      <c r="R11" s="317"/>
      <c r="S11" s="317"/>
      <c r="T11" s="317"/>
      <c r="U11" s="317"/>
      <c r="V11" s="317"/>
      <c r="W11" s="317"/>
      <c r="X11" s="317"/>
      <c r="Y11" s="317"/>
      <c r="Z11" s="317"/>
      <c r="AA11" s="317"/>
      <c r="AB11" s="317"/>
    </row>
    <row r="12" spans="1:28" hidden="1" outlineLevel="2" x14ac:dyDescent="0.25">
      <c r="A12" s="672"/>
      <c r="B12" s="673"/>
      <c r="C12" s="673"/>
      <c r="D12" s="80" t="s">
        <v>33</v>
      </c>
      <c r="E12" s="77">
        <f t="shared" si="2"/>
        <v>0</v>
      </c>
      <c r="F12" s="140"/>
      <c r="G12" s="140"/>
      <c r="H12" s="140"/>
      <c r="I12" s="141"/>
      <c r="J12" s="317"/>
      <c r="K12" s="317"/>
      <c r="L12" s="317"/>
      <c r="M12" s="317"/>
      <c r="N12" s="317"/>
      <c r="O12" s="317"/>
      <c r="P12" s="317"/>
      <c r="Q12" s="317"/>
      <c r="R12" s="317"/>
      <c r="S12" s="317"/>
      <c r="T12" s="317"/>
      <c r="U12" s="317"/>
      <c r="V12" s="317"/>
      <c r="W12" s="317"/>
      <c r="X12" s="317"/>
      <c r="Y12" s="317"/>
      <c r="Z12" s="317"/>
      <c r="AA12" s="317"/>
      <c r="AB12" s="317"/>
    </row>
    <row r="13" spans="1:28" hidden="1" outlineLevel="2" x14ac:dyDescent="0.25">
      <c r="A13" s="672"/>
      <c r="B13" s="673"/>
      <c r="C13" s="673"/>
      <c r="D13" s="80" t="s">
        <v>34</v>
      </c>
      <c r="E13" s="77">
        <f t="shared" si="2"/>
        <v>0</v>
      </c>
      <c r="F13" s="140"/>
      <c r="G13" s="140"/>
      <c r="H13" s="140"/>
      <c r="I13" s="141"/>
      <c r="J13" s="317"/>
      <c r="K13" s="317"/>
      <c r="L13" s="317"/>
      <c r="M13" s="317"/>
      <c r="N13" s="317"/>
      <c r="O13" s="317"/>
      <c r="P13" s="317"/>
      <c r="Q13" s="317"/>
      <c r="R13" s="317"/>
      <c r="S13" s="317"/>
      <c r="T13" s="317"/>
      <c r="U13" s="317"/>
      <c r="V13" s="317"/>
      <c r="W13" s="317"/>
      <c r="X13" s="317"/>
      <c r="Y13" s="317"/>
      <c r="Z13" s="317"/>
      <c r="AA13" s="317"/>
      <c r="AB13" s="317"/>
    </row>
    <row r="14" spans="1:28" ht="15.75" hidden="1" outlineLevel="2" thickBot="1" x14ac:dyDescent="0.3">
      <c r="A14" s="672"/>
      <c r="B14" s="673"/>
      <c r="C14" s="673"/>
      <c r="D14" s="81" t="s">
        <v>35</v>
      </c>
      <c r="E14" s="77">
        <f t="shared" si="2"/>
        <v>0</v>
      </c>
      <c r="F14" s="142"/>
      <c r="G14" s="142"/>
      <c r="H14" s="142"/>
      <c r="I14" s="143"/>
      <c r="J14" s="318"/>
      <c r="K14" s="318"/>
      <c r="L14" s="318"/>
      <c r="M14" s="318"/>
      <c r="N14" s="318"/>
      <c r="O14" s="318"/>
      <c r="P14" s="318"/>
      <c r="Q14" s="318"/>
      <c r="R14" s="318"/>
      <c r="S14" s="318"/>
      <c r="T14" s="318"/>
      <c r="U14" s="318"/>
      <c r="V14" s="318"/>
      <c r="W14" s="318"/>
      <c r="X14" s="318"/>
      <c r="Y14" s="318"/>
      <c r="Z14" s="318"/>
      <c r="AA14" s="318"/>
      <c r="AB14" s="318"/>
    </row>
    <row r="15" spans="1:28" hidden="1" outlineLevel="2" x14ac:dyDescent="0.25">
      <c r="A15" s="672" t="s">
        <v>71</v>
      </c>
      <c r="B15" s="673" t="s">
        <v>77</v>
      </c>
      <c r="C15" s="673">
        <v>633013</v>
      </c>
      <c r="D15" s="79" t="s">
        <v>26</v>
      </c>
      <c r="E15" s="76">
        <f t="shared" si="2"/>
        <v>0</v>
      </c>
      <c r="F15" s="138"/>
      <c r="G15" s="138"/>
      <c r="H15" s="138"/>
      <c r="I15" s="139"/>
      <c r="J15" s="316"/>
      <c r="K15" s="316"/>
      <c r="L15" s="316"/>
      <c r="M15" s="316"/>
      <c r="N15" s="316"/>
      <c r="O15" s="316"/>
      <c r="P15" s="316"/>
      <c r="Q15" s="316"/>
      <c r="R15" s="316"/>
      <c r="S15" s="316"/>
      <c r="T15" s="316"/>
      <c r="U15" s="316"/>
      <c r="V15" s="316"/>
      <c r="W15" s="316"/>
      <c r="X15" s="316"/>
      <c r="Y15" s="316"/>
      <c r="Z15" s="316"/>
      <c r="AA15" s="316"/>
      <c r="AB15" s="316"/>
    </row>
    <row r="16" spans="1:28" hidden="1" outlineLevel="2" x14ac:dyDescent="0.25">
      <c r="A16" s="672"/>
      <c r="B16" s="673"/>
      <c r="C16" s="673"/>
      <c r="D16" s="80" t="s">
        <v>27</v>
      </c>
      <c r="E16" s="77">
        <f t="shared" si="2"/>
        <v>0</v>
      </c>
      <c r="F16" s="140"/>
      <c r="G16" s="140"/>
      <c r="H16" s="140"/>
      <c r="I16" s="141"/>
      <c r="J16" s="317"/>
      <c r="K16" s="317"/>
      <c r="L16" s="317"/>
      <c r="M16" s="317"/>
      <c r="N16" s="317"/>
      <c r="O16" s="317"/>
      <c r="P16" s="317"/>
      <c r="Q16" s="317"/>
      <c r="R16" s="317"/>
      <c r="S16" s="317"/>
      <c r="T16" s="317"/>
      <c r="U16" s="317"/>
      <c r="V16" s="317"/>
      <c r="W16" s="317"/>
      <c r="X16" s="317"/>
      <c r="Y16" s="317"/>
      <c r="Z16" s="317"/>
      <c r="AA16" s="317"/>
      <c r="AB16" s="317"/>
    </row>
    <row r="17" spans="1:29" hidden="1" outlineLevel="2" x14ac:dyDescent="0.25">
      <c r="A17" s="672"/>
      <c r="B17" s="673"/>
      <c r="C17" s="673"/>
      <c r="D17" s="80" t="s">
        <v>28</v>
      </c>
      <c r="E17" s="77">
        <f t="shared" si="2"/>
        <v>0</v>
      </c>
      <c r="F17" s="140"/>
      <c r="G17" s="140"/>
      <c r="H17" s="140"/>
      <c r="I17" s="141"/>
      <c r="J17" s="317"/>
      <c r="K17" s="317"/>
      <c r="L17" s="317"/>
      <c r="M17" s="317"/>
      <c r="N17" s="317"/>
      <c r="O17" s="317"/>
      <c r="P17" s="317"/>
      <c r="Q17" s="317"/>
      <c r="R17" s="317"/>
      <c r="S17" s="317"/>
      <c r="T17" s="317"/>
      <c r="U17" s="317"/>
      <c r="V17" s="317"/>
      <c r="W17" s="317"/>
      <c r="X17" s="317"/>
      <c r="Y17" s="317"/>
      <c r="Z17" s="317"/>
      <c r="AA17" s="317"/>
      <c r="AB17" s="317"/>
    </row>
    <row r="18" spans="1:29" hidden="1" outlineLevel="2" x14ac:dyDescent="0.25">
      <c r="A18" s="672"/>
      <c r="B18" s="673"/>
      <c r="C18" s="673"/>
      <c r="D18" s="80" t="s">
        <v>29</v>
      </c>
      <c r="E18" s="77">
        <f t="shared" si="2"/>
        <v>0</v>
      </c>
      <c r="F18" s="140"/>
      <c r="G18" s="140"/>
      <c r="H18" s="140"/>
      <c r="I18" s="141"/>
      <c r="J18" s="317"/>
      <c r="K18" s="317"/>
      <c r="L18" s="317"/>
      <c r="M18" s="317"/>
      <c r="N18" s="317"/>
      <c r="O18" s="317"/>
      <c r="P18" s="317"/>
      <c r="Q18" s="317"/>
      <c r="R18" s="317"/>
      <c r="S18" s="317"/>
      <c r="T18" s="317"/>
      <c r="U18" s="317"/>
      <c r="V18" s="317"/>
      <c r="W18" s="317"/>
      <c r="X18" s="317"/>
      <c r="Y18" s="317"/>
      <c r="Z18" s="317"/>
      <c r="AA18" s="317"/>
      <c r="AB18" s="317"/>
    </row>
    <row r="19" spans="1:29" hidden="1" outlineLevel="2" x14ac:dyDescent="0.25">
      <c r="A19" s="672"/>
      <c r="B19" s="673"/>
      <c r="C19" s="673"/>
      <c r="D19" s="80" t="s">
        <v>30</v>
      </c>
      <c r="E19" s="77">
        <f t="shared" si="2"/>
        <v>0</v>
      </c>
      <c r="F19" s="140"/>
      <c r="G19" s="140"/>
      <c r="H19" s="140"/>
      <c r="I19" s="141"/>
      <c r="J19" s="317"/>
      <c r="K19" s="317"/>
      <c r="L19" s="317"/>
      <c r="M19" s="317"/>
      <c r="N19" s="317"/>
      <c r="O19" s="317"/>
      <c r="P19" s="317"/>
      <c r="Q19" s="317"/>
      <c r="R19" s="317"/>
      <c r="S19" s="317"/>
      <c r="T19" s="317"/>
      <c r="U19" s="317"/>
      <c r="V19" s="317"/>
      <c r="W19" s="317"/>
      <c r="X19" s="317"/>
      <c r="Y19" s="317"/>
      <c r="Z19" s="317"/>
      <c r="AA19" s="317"/>
      <c r="AB19" s="317"/>
    </row>
    <row r="20" spans="1:29" hidden="1" outlineLevel="2" x14ac:dyDescent="0.25">
      <c r="A20" s="672"/>
      <c r="B20" s="673"/>
      <c r="C20" s="673"/>
      <c r="D20" s="80" t="s">
        <v>31</v>
      </c>
      <c r="E20" s="77">
        <f t="shared" si="2"/>
        <v>0</v>
      </c>
      <c r="F20" s="140"/>
      <c r="G20" s="140"/>
      <c r="H20" s="140"/>
      <c r="I20" s="141"/>
      <c r="J20" s="317"/>
      <c r="K20" s="317"/>
      <c r="L20" s="317"/>
      <c r="M20" s="317"/>
      <c r="N20" s="317"/>
      <c r="O20" s="317"/>
      <c r="P20" s="317"/>
      <c r="Q20" s="317"/>
      <c r="R20" s="317"/>
      <c r="S20" s="317"/>
      <c r="T20" s="317"/>
      <c r="U20" s="317"/>
      <c r="V20" s="317"/>
      <c r="W20" s="317"/>
      <c r="X20" s="317"/>
      <c r="Y20" s="317"/>
      <c r="Z20" s="317"/>
      <c r="AA20" s="317"/>
      <c r="AB20" s="317"/>
    </row>
    <row r="21" spans="1:29" hidden="1" outlineLevel="2" x14ac:dyDescent="0.25">
      <c r="A21" s="672"/>
      <c r="B21" s="673"/>
      <c r="C21" s="673"/>
      <c r="D21" s="80" t="s">
        <v>32</v>
      </c>
      <c r="E21" s="77">
        <f t="shared" si="2"/>
        <v>0</v>
      </c>
      <c r="F21" s="140"/>
      <c r="G21" s="140"/>
      <c r="H21" s="140"/>
      <c r="I21" s="141"/>
      <c r="J21" s="317"/>
      <c r="K21" s="317"/>
      <c r="L21" s="317"/>
      <c r="M21" s="317"/>
      <c r="N21" s="317"/>
      <c r="O21" s="317"/>
      <c r="P21" s="317"/>
      <c r="Q21" s="317"/>
      <c r="R21" s="317"/>
      <c r="S21" s="317"/>
      <c r="T21" s="317"/>
      <c r="U21" s="317"/>
      <c r="V21" s="317"/>
      <c r="W21" s="317"/>
      <c r="X21" s="317"/>
      <c r="Y21" s="317"/>
      <c r="Z21" s="317"/>
      <c r="AA21" s="317"/>
      <c r="AB21" s="317"/>
    </row>
    <row r="22" spans="1:29" hidden="1" outlineLevel="2" x14ac:dyDescent="0.25">
      <c r="A22" s="672"/>
      <c r="B22" s="673"/>
      <c r="C22" s="673"/>
      <c r="D22" s="80" t="s">
        <v>33</v>
      </c>
      <c r="E22" s="77">
        <f t="shared" si="2"/>
        <v>0</v>
      </c>
      <c r="F22" s="140"/>
      <c r="G22" s="140"/>
      <c r="H22" s="140"/>
      <c r="I22" s="141"/>
      <c r="J22" s="317"/>
      <c r="K22" s="317"/>
      <c r="L22" s="317"/>
      <c r="M22" s="317"/>
      <c r="N22" s="317"/>
      <c r="O22" s="317"/>
      <c r="P22" s="317"/>
      <c r="Q22" s="317"/>
      <c r="R22" s="317"/>
      <c r="S22" s="317"/>
      <c r="T22" s="317"/>
      <c r="U22" s="317"/>
      <c r="V22" s="317"/>
      <c r="W22" s="317"/>
      <c r="X22" s="317"/>
      <c r="Y22" s="317"/>
      <c r="Z22" s="317"/>
      <c r="AA22" s="317"/>
      <c r="AB22" s="317"/>
    </row>
    <row r="23" spans="1:29" hidden="1" outlineLevel="2" x14ac:dyDescent="0.25">
      <c r="A23" s="672"/>
      <c r="B23" s="673"/>
      <c r="C23" s="673"/>
      <c r="D23" s="80" t="s">
        <v>34</v>
      </c>
      <c r="E23" s="77">
        <f t="shared" si="2"/>
        <v>0</v>
      </c>
      <c r="F23" s="140"/>
      <c r="G23" s="140"/>
      <c r="H23" s="140"/>
      <c r="I23" s="141"/>
      <c r="J23" s="317"/>
      <c r="K23" s="317"/>
      <c r="L23" s="317"/>
      <c r="M23" s="317"/>
      <c r="N23" s="317"/>
      <c r="O23" s="317"/>
      <c r="P23" s="317"/>
      <c r="Q23" s="317"/>
      <c r="R23" s="317"/>
      <c r="S23" s="317"/>
      <c r="T23" s="317"/>
      <c r="U23" s="317"/>
      <c r="V23" s="317"/>
      <c r="W23" s="317"/>
      <c r="X23" s="317"/>
      <c r="Y23" s="317"/>
      <c r="Z23" s="317"/>
      <c r="AA23" s="317"/>
      <c r="AB23" s="317"/>
    </row>
    <row r="24" spans="1:29" ht="15.75" hidden="1" outlineLevel="2" thickBot="1" x14ac:dyDescent="0.3">
      <c r="A24" s="672"/>
      <c r="B24" s="673"/>
      <c r="C24" s="673"/>
      <c r="D24" s="81" t="s">
        <v>35</v>
      </c>
      <c r="E24" s="78">
        <f t="shared" si="2"/>
        <v>0</v>
      </c>
      <c r="F24" s="142"/>
      <c r="G24" s="142"/>
      <c r="H24" s="142"/>
      <c r="I24" s="143"/>
      <c r="J24" s="318"/>
      <c r="K24" s="318"/>
      <c r="L24" s="318"/>
      <c r="M24" s="318"/>
      <c r="N24" s="318"/>
      <c r="O24" s="318"/>
      <c r="P24" s="318"/>
      <c r="Q24" s="318"/>
      <c r="R24" s="318"/>
      <c r="S24" s="318"/>
      <c r="T24" s="318"/>
      <c r="U24" s="318"/>
      <c r="V24" s="318"/>
      <c r="W24" s="318"/>
      <c r="X24" s="318"/>
      <c r="Y24" s="318"/>
      <c r="Z24" s="318"/>
      <c r="AA24" s="318"/>
      <c r="AB24" s="318"/>
    </row>
    <row r="25" spans="1:29" ht="15.75" outlineLevel="1" thickBot="1" x14ac:dyDescent="0.3">
      <c r="A25" s="25" t="s">
        <v>106</v>
      </c>
      <c r="B25" s="25"/>
      <c r="C25" s="25"/>
      <c r="D25" s="36"/>
      <c r="E25" s="148">
        <f>SUM(E26:E60)</f>
        <v>5349512.2600000007</v>
      </c>
      <c r="F25" s="149"/>
      <c r="G25" s="149"/>
      <c r="H25" s="149">
        <f>SUM(H26:H60)</f>
        <v>387884.23554180405</v>
      </c>
      <c r="I25" s="149">
        <f t="shared" ref="I25:AB25" si="3">SUM(I26:I60)</f>
        <v>171539.84537664932</v>
      </c>
      <c r="J25" s="149">
        <f t="shared" si="3"/>
        <v>0</v>
      </c>
      <c r="K25" s="149">
        <f t="shared" si="3"/>
        <v>434088.73131360434</v>
      </c>
      <c r="L25" s="149">
        <f t="shared" si="3"/>
        <v>459679.10168946517</v>
      </c>
      <c r="M25" s="149">
        <f t="shared" si="3"/>
        <v>388972.40704846988</v>
      </c>
      <c r="N25" s="149">
        <f t="shared" si="3"/>
        <v>477303.81210360909</v>
      </c>
      <c r="O25" s="149">
        <f t="shared" si="3"/>
        <v>577360.57080922637</v>
      </c>
      <c r="P25" s="149">
        <f t="shared" si="3"/>
        <v>569303.21100144216</v>
      </c>
      <c r="Q25" s="149">
        <f t="shared" si="3"/>
        <v>386105.25852809759</v>
      </c>
      <c r="R25" s="149">
        <f t="shared" ref="R25:Z25" si="4">SUM(R27:R60)</f>
        <v>0</v>
      </c>
      <c r="S25" s="149">
        <f t="shared" si="4"/>
        <v>0</v>
      </c>
      <c r="T25" s="149">
        <f t="shared" si="4"/>
        <v>0</v>
      </c>
      <c r="U25" s="149">
        <f t="shared" si="4"/>
        <v>0</v>
      </c>
      <c r="V25" s="149">
        <f t="shared" si="4"/>
        <v>0</v>
      </c>
      <c r="W25" s="149">
        <f t="shared" si="4"/>
        <v>166893.71984257043</v>
      </c>
      <c r="X25" s="149">
        <f t="shared" si="4"/>
        <v>0</v>
      </c>
      <c r="Y25" s="149">
        <f t="shared" si="4"/>
        <v>0</v>
      </c>
      <c r="Z25" s="149">
        <f t="shared" si="4"/>
        <v>45299.723957269125</v>
      </c>
      <c r="AA25" s="149">
        <f t="shared" si="3"/>
        <v>434620.59042079496</v>
      </c>
      <c r="AB25" s="149">
        <f t="shared" si="3"/>
        <v>850461.05236699746</v>
      </c>
    </row>
    <row r="26" spans="1:29" outlineLevel="2" x14ac:dyDescent="0.25">
      <c r="A26" s="672" t="s">
        <v>75</v>
      </c>
      <c r="B26" s="673" t="s">
        <v>72</v>
      </c>
      <c r="C26" s="673">
        <v>711003</v>
      </c>
      <c r="D26" s="79" t="s">
        <v>26</v>
      </c>
      <c r="E26" s="83">
        <f t="shared" ref="E26:E60" si="5">SUM(H26:AB26)</f>
        <v>3477429.6000000006</v>
      </c>
      <c r="F26" s="133"/>
      <c r="G26" s="133"/>
      <c r="H26" s="133">
        <f>SUM('Indikativny rozpočet'!$I$5:$I$8)/2</f>
        <v>152277.6</v>
      </c>
      <c r="I26" s="133">
        <f>SUM('Indikativny rozpočet'!I17:I20)</f>
        <v>134688</v>
      </c>
      <c r="J26" s="319">
        <f>SUM('Indikativny rozpočet'!I22:I25)</f>
        <v>0</v>
      </c>
      <c r="K26" s="319">
        <f>SUM('Indikativny rozpočet'!I29:I33)</f>
        <v>340833.6</v>
      </c>
      <c r="L26" s="319">
        <f>SUM('Indikativny rozpočet'!$I$37:$I$40)/2</f>
        <v>180463.2</v>
      </c>
      <c r="M26" s="319">
        <f>SUM('Indikativny rozpočet'!I42:I45)</f>
        <v>305409.59999999998</v>
      </c>
      <c r="N26" s="319">
        <f>SUM('Indikativny rozpočet'!I47:I50)</f>
        <v>374764.79999999999</v>
      </c>
      <c r="O26" s="319">
        <f>SUM('Indikativny rozpočet'!I52:I55)</f>
        <v>453326.4</v>
      </c>
      <c r="P26" s="319">
        <f>SUM('Indikativny rozpočet'!$I$57:$I$61)/2</f>
        <v>223500</v>
      </c>
      <c r="Q26" s="319">
        <f>SUM('Indikativny rozpočet'!I63:I66)</f>
        <v>303158.40000000002</v>
      </c>
      <c r="R26" s="319"/>
      <c r="S26" s="319"/>
      <c r="T26" s="319"/>
      <c r="U26" s="319"/>
      <c r="V26" s="319"/>
      <c r="W26" s="319"/>
      <c r="X26" s="319"/>
      <c r="Y26" s="319"/>
      <c r="Z26" s="319"/>
      <c r="AA26" s="319">
        <f>SUM('Indikativny rozpočet'!I108:I111)</f>
        <v>341251.2</v>
      </c>
      <c r="AB26" s="319">
        <f>SUM('Indikativny rozpočet'!I113:I116)</f>
        <v>667756.80000000005</v>
      </c>
      <c r="AC26" s="448"/>
    </row>
    <row r="27" spans="1:29" outlineLevel="2" x14ac:dyDescent="0.25">
      <c r="A27" s="672"/>
      <c r="B27" s="673"/>
      <c r="C27" s="673"/>
      <c r="D27" s="80" t="s">
        <v>27</v>
      </c>
      <c r="E27" s="84">
        <f t="shared" si="5"/>
        <v>722848.8</v>
      </c>
      <c r="F27" s="134"/>
      <c r="G27" s="134"/>
      <c r="H27" s="134">
        <f>SUM('Indikativny rozpočet'!$I$5:$I$8)/2</f>
        <v>152277.6</v>
      </c>
      <c r="I27" s="135"/>
      <c r="J27" s="320"/>
      <c r="K27" s="320"/>
      <c r="L27" s="320">
        <f>SUM('Indikativny rozpočet'!$I$37:$I$40)/2</f>
        <v>180463.2</v>
      </c>
      <c r="M27" s="320"/>
      <c r="N27" s="320"/>
      <c r="O27" s="320"/>
      <c r="P27" s="320">
        <f>SUM('Indikativny rozpočet'!$I$57:$I$61)/2</f>
        <v>223500</v>
      </c>
      <c r="Q27" s="320"/>
      <c r="R27" s="320">
        <f>SUM('Indikativny rozpočet'!I68:I71)</f>
        <v>0</v>
      </c>
      <c r="S27" s="320"/>
      <c r="T27" s="320">
        <f>SUM('Indikativny rozpočet'!I73:I76)</f>
        <v>0</v>
      </c>
      <c r="U27" s="320">
        <f>SUM('Indikativny rozpočet'!I78:I81)</f>
        <v>0</v>
      </c>
      <c r="V27" s="320">
        <f>SUM('Indikativny rozpočet'!I83:I86)</f>
        <v>0</v>
      </c>
      <c r="W27" s="320">
        <f>SUM('Indikativny rozpočet'!I88:I91)</f>
        <v>131040</v>
      </c>
      <c r="X27" s="320">
        <f>SUM('Indikativny rozpočet'!I93:I96)</f>
        <v>0</v>
      </c>
      <c r="Y27" s="320">
        <f>SUM('Indikativny rozpočet'!I98:I101)</f>
        <v>0</v>
      </c>
      <c r="Z27" s="320">
        <f>SUM('Indikativny rozpočet'!I103:I106)</f>
        <v>35568</v>
      </c>
      <c r="AA27" s="320"/>
      <c r="AB27" s="320"/>
    </row>
    <row r="28" spans="1:29" outlineLevel="2" x14ac:dyDescent="0.25">
      <c r="A28" s="672"/>
      <c r="B28" s="673"/>
      <c r="C28" s="673"/>
      <c r="D28" s="80" t="s">
        <v>28</v>
      </c>
      <c r="E28" s="84">
        <f t="shared" si="5"/>
        <v>0</v>
      </c>
      <c r="F28" s="134"/>
      <c r="G28" s="134"/>
      <c r="H28" s="134"/>
      <c r="I28" s="135"/>
      <c r="J28" s="320"/>
      <c r="K28" s="320"/>
      <c r="L28" s="320"/>
      <c r="M28" s="320"/>
      <c r="N28" s="320"/>
      <c r="O28" s="320"/>
      <c r="P28" s="320"/>
      <c r="Q28" s="320"/>
      <c r="R28" s="320"/>
      <c r="S28" s="320"/>
      <c r="T28" s="320"/>
      <c r="U28" s="320"/>
      <c r="V28" s="320"/>
      <c r="W28" s="320"/>
      <c r="X28" s="320"/>
      <c r="Y28" s="320"/>
      <c r="Z28" s="320"/>
      <c r="AA28" s="320"/>
      <c r="AB28" s="320"/>
    </row>
    <row r="29" spans="1:29" outlineLevel="2" x14ac:dyDescent="0.25">
      <c r="A29" s="672"/>
      <c r="B29" s="673"/>
      <c r="C29" s="673"/>
      <c r="D29" s="80" t="s">
        <v>29</v>
      </c>
      <c r="E29" s="84">
        <f t="shared" si="5"/>
        <v>0</v>
      </c>
      <c r="F29" s="134"/>
      <c r="G29" s="134"/>
      <c r="H29" s="134"/>
      <c r="I29" s="135"/>
      <c r="J29" s="320"/>
      <c r="K29" s="320"/>
      <c r="L29" s="320"/>
      <c r="M29" s="320"/>
      <c r="N29" s="320"/>
      <c r="O29" s="320"/>
      <c r="P29" s="320"/>
      <c r="Q29" s="320"/>
      <c r="R29" s="320"/>
      <c r="S29" s="320"/>
      <c r="T29" s="320"/>
      <c r="U29" s="320"/>
      <c r="V29" s="320"/>
      <c r="W29" s="320"/>
      <c r="X29" s="320"/>
      <c r="Y29" s="320"/>
      <c r="Z29" s="320"/>
      <c r="AA29" s="320"/>
      <c r="AB29" s="320"/>
    </row>
    <row r="30" spans="1:29" outlineLevel="2" x14ac:dyDescent="0.25">
      <c r="A30" s="672"/>
      <c r="B30" s="673"/>
      <c r="C30" s="673"/>
      <c r="D30" s="80" t="s">
        <v>30</v>
      </c>
      <c r="E30" s="84">
        <f t="shared" si="5"/>
        <v>0</v>
      </c>
      <c r="F30" s="134"/>
      <c r="G30" s="134"/>
      <c r="H30" s="134"/>
      <c r="I30" s="135"/>
      <c r="J30" s="320"/>
      <c r="K30" s="320"/>
      <c r="L30" s="320"/>
      <c r="M30" s="320"/>
      <c r="N30" s="320"/>
      <c r="O30" s="320"/>
      <c r="P30" s="320"/>
      <c r="Q30" s="320"/>
      <c r="R30" s="320"/>
      <c r="S30" s="320"/>
      <c r="T30" s="320"/>
      <c r="U30" s="320"/>
      <c r="V30" s="320"/>
      <c r="W30" s="320"/>
      <c r="X30" s="320"/>
      <c r="Y30" s="320"/>
      <c r="Z30" s="320"/>
      <c r="AA30" s="320"/>
      <c r="AB30" s="320"/>
    </row>
    <row r="31" spans="1:29" outlineLevel="2" x14ac:dyDescent="0.25">
      <c r="A31" s="672"/>
      <c r="B31" s="673"/>
      <c r="C31" s="673"/>
      <c r="D31" s="80" t="s">
        <v>31</v>
      </c>
      <c r="E31" s="84">
        <f t="shared" si="5"/>
        <v>0</v>
      </c>
      <c r="F31" s="134"/>
      <c r="G31" s="134"/>
      <c r="H31" s="134"/>
      <c r="I31" s="135"/>
      <c r="J31" s="320"/>
      <c r="K31" s="320"/>
      <c r="L31" s="320"/>
      <c r="M31" s="320"/>
      <c r="N31" s="320"/>
      <c r="O31" s="320"/>
      <c r="P31" s="320"/>
      <c r="Q31" s="320"/>
      <c r="R31" s="320"/>
      <c r="S31" s="320"/>
      <c r="T31" s="320"/>
      <c r="U31" s="320"/>
      <c r="V31" s="320"/>
      <c r="W31" s="320"/>
      <c r="X31" s="320"/>
      <c r="Y31" s="320"/>
      <c r="Z31" s="320"/>
      <c r="AA31" s="320"/>
      <c r="AB31" s="320"/>
    </row>
    <row r="32" spans="1:29" outlineLevel="2" x14ac:dyDescent="0.25">
      <c r="A32" s="672"/>
      <c r="B32" s="673"/>
      <c r="C32" s="673"/>
      <c r="D32" s="80" t="s">
        <v>32</v>
      </c>
      <c r="E32" s="84">
        <f t="shared" si="5"/>
        <v>0</v>
      </c>
      <c r="F32" s="134"/>
      <c r="G32" s="134"/>
      <c r="H32" s="134"/>
      <c r="I32" s="135"/>
      <c r="J32" s="320"/>
      <c r="K32" s="320"/>
      <c r="L32" s="320"/>
      <c r="M32" s="320"/>
      <c r="N32" s="320"/>
      <c r="O32" s="320"/>
      <c r="P32" s="320"/>
      <c r="Q32" s="320"/>
      <c r="R32" s="320"/>
      <c r="S32" s="320"/>
      <c r="T32" s="320"/>
      <c r="U32" s="320"/>
      <c r="V32" s="320"/>
      <c r="W32" s="320"/>
      <c r="X32" s="320"/>
      <c r="Y32" s="320"/>
      <c r="Z32" s="320"/>
      <c r="AA32" s="320"/>
      <c r="AB32" s="320"/>
    </row>
    <row r="33" spans="1:29" outlineLevel="2" x14ac:dyDescent="0.25">
      <c r="A33" s="672"/>
      <c r="B33" s="673"/>
      <c r="C33" s="673"/>
      <c r="D33" s="80" t="s">
        <v>33</v>
      </c>
      <c r="E33" s="84">
        <f t="shared" si="5"/>
        <v>0</v>
      </c>
      <c r="F33" s="134"/>
      <c r="G33" s="134"/>
      <c r="H33" s="134"/>
      <c r="I33" s="135"/>
      <c r="J33" s="320"/>
      <c r="K33" s="320"/>
      <c r="L33" s="320"/>
      <c r="M33" s="320"/>
      <c r="N33" s="320"/>
      <c r="O33" s="320"/>
      <c r="P33" s="320"/>
      <c r="Q33" s="320"/>
      <c r="R33" s="320"/>
      <c r="S33" s="320"/>
      <c r="T33" s="320"/>
      <c r="U33" s="320"/>
      <c r="V33" s="320"/>
      <c r="W33" s="320"/>
      <c r="X33" s="320"/>
      <c r="Y33" s="320"/>
      <c r="Z33" s="320"/>
      <c r="AA33" s="320"/>
      <c r="AB33" s="320"/>
    </row>
    <row r="34" spans="1:29" outlineLevel="2" x14ac:dyDescent="0.25">
      <c r="A34" s="672"/>
      <c r="B34" s="673"/>
      <c r="C34" s="673"/>
      <c r="D34" s="80" t="s">
        <v>34</v>
      </c>
      <c r="E34" s="84">
        <f t="shared" si="5"/>
        <v>0</v>
      </c>
      <c r="F34" s="134"/>
      <c r="G34" s="134"/>
      <c r="H34" s="134"/>
      <c r="I34" s="135"/>
      <c r="J34" s="320"/>
      <c r="K34" s="320"/>
      <c r="L34" s="320"/>
      <c r="M34" s="320"/>
      <c r="N34" s="320"/>
      <c r="O34" s="320"/>
      <c r="P34" s="320"/>
      <c r="Q34" s="320"/>
      <c r="R34" s="320"/>
      <c r="S34" s="320"/>
      <c r="T34" s="320"/>
      <c r="U34" s="320"/>
      <c r="V34" s="320"/>
      <c r="W34" s="320"/>
      <c r="X34" s="320"/>
      <c r="Y34" s="320"/>
      <c r="Z34" s="320"/>
      <c r="AA34" s="320"/>
      <c r="AB34" s="320"/>
    </row>
    <row r="35" spans="1:29" ht="15.75" outlineLevel="2" thickBot="1" x14ac:dyDescent="0.3">
      <c r="A35" s="672"/>
      <c r="B35" s="673"/>
      <c r="C35" s="673"/>
      <c r="D35" s="81" t="s">
        <v>35</v>
      </c>
      <c r="E35" s="85">
        <f t="shared" si="5"/>
        <v>0</v>
      </c>
      <c r="F35" s="136"/>
      <c r="G35" s="136"/>
      <c r="H35" s="136"/>
      <c r="I35" s="137"/>
      <c r="J35" s="321"/>
      <c r="K35" s="321"/>
      <c r="L35" s="321"/>
      <c r="M35" s="321"/>
      <c r="N35" s="321"/>
      <c r="O35" s="321"/>
      <c r="P35" s="321"/>
      <c r="Q35" s="321"/>
      <c r="R35" s="321"/>
      <c r="S35" s="321"/>
      <c r="T35" s="321"/>
      <c r="U35" s="321"/>
      <c r="V35" s="321"/>
      <c r="W35" s="321"/>
      <c r="X35" s="321"/>
      <c r="Y35" s="321"/>
      <c r="Z35" s="321"/>
      <c r="AA35" s="321"/>
      <c r="AB35" s="321"/>
    </row>
    <row r="36" spans="1:29" outlineLevel="2" x14ac:dyDescent="0.25">
      <c r="A36" s="672" t="s">
        <v>75</v>
      </c>
      <c r="B36" s="673" t="s">
        <v>77</v>
      </c>
      <c r="C36" s="673">
        <v>633013</v>
      </c>
      <c r="D36" s="79" t="s">
        <v>26</v>
      </c>
      <c r="E36" s="84">
        <f t="shared" si="5"/>
        <v>0</v>
      </c>
      <c r="F36" s="133"/>
      <c r="G36" s="133"/>
      <c r="H36" s="133"/>
      <c r="I36" s="133"/>
      <c r="J36" s="319"/>
      <c r="K36" s="319"/>
      <c r="L36" s="319"/>
      <c r="M36" s="319"/>
      <c r="N36" s="319"/>
      <c r="O36" s="319"/>
      <c r="P36" s="319"/>
      <c r="Q36" s="319"/>
      <c r="R36" s="319"/>
      <c r="S36" s="319"/>
      <c r="T36" s="319"/>
      <c r="U36" s="319"/>
      <c r="V36" s="319"/>
      <c r="W36" s="319"/>
      <c r="X36" s="319"/>
      <c r="Y36" s="319"/>
      <c r="Z36" s="319"/>
      <c r="AA36" s="319"/>
      <c r="AB36" s="319"/>
    </row>
    <row r="37" spans="1:29" outlineLevel="2" x14ac:dyDescent="0.25">
      <c r="A37" s="672"/>
      <c r="B37" s="673"/>
      <c r="C37" s="673"/>
      <c r="D37" s="80" t="s">
        <v>27</v>
      </c>
      <c r="E37" s="84">
        <f t="shared" si="5"/>
        <v>0</v>
      </c>
      <c r="F37" s="134"/>
      <c r="G37" s="134"/>
      <c r="H37" s="134"/>
      <c r="I37" s="135"/>
      <c r="J37" s="320"/>
      <c r="K37" s="320"/>
      <c r="L37" s="320"/>
      <c r="M37" s="320"/>
      <c r="N37" s="320"/>
      <c r="O37" s="320"/>
      <c r="P37" s="320"/>
      <c r="Q37" s="320"/>
      <c r="R37" s="320"/>
      <c r="S37" s="320"/>
      <c r="T37" s="320"/>
      <c r="U37" s="320"/>
      <c r="V37" s="320"/>
      <c r="W37" s="320"/>
      <c r="X37" s="320"/>
      <c r="Y37" s="320"/>
      <c r="Z37" s="320"/>
      <c r="AA37" s="320"/>
      <c r="AB37" s="320"/>
    </row>
    <row r="38" spans="1:29" outlineLevel="2" x14ac:dyDescent="0.25">
      <c r="A38" s="672"/>
      <c r="B38" s="673"/>
      <c r="C38" s="673"/>
      <c r="D38" s="80" t="s">
        <v>28</v>
      </c>
      <c r="E38" s="84">
        <f t="shared" si="5"/>
        <v>0</v>
      </c>
      <c r="F38" s="134"/>
      <c r="G38" s="134"/>
      <c r="H38" s="134"/>
      <c r="I38" s="135"/>
      <c r="J38" s="320"/>
      <c r="K38" s="320"/>
      <c r="L38" s="320"/>
      <c r="M38" s="320"/>
      <c r="N38" s="320"/>
      <c r="O38" s="320"/>
      <c r="P38" s="320"/>
      <c r="Q38" s="320"/>
      <c r="R38" s="320"/>
      <c r="S38" s="320"/>
      <c r="T38" s="320"/>
      <c r="U38" s="320"/>
      <c r="V38" s="320"/>
      <c r="W38" s="320"/>
      <c r="X38" s="320"/>
      <c r="Y38" s="320"/>
      <c r="Z38" s="320"/>
      <c r="AA38" s="320"/>
      <c r="AB38" s="320"/>
    </row>
    <row r="39" spans="1:29" outlineLevel="2" x14ac:dyDescent="0.25">
      <c r="A39" s="672"/>
      <c r="B39" s="673"/>
      <c r="C39" s="673"/>
      <c r="D39" s="80" t="s">
        <v>29</v>
      </c>
      <c r="E39" s="84">
        <f t="shared" si="5"/>
        <v>0</v>
      </c>
      <c r="F39" s="134"/>
      <c r="G39" s="134"/>
      <c r="H39" s="134"/>
      <c r="I39" s="135"/>
      <c r="J39" s="320"/>
      <c r="K39" s="320"/>
      <c r="L39" s="320"/>
      <c r="M39" s="320"/>
      <c r="N39" s="320"/>
      <c r="O39" s="320"/>
      <c r="P39" s="320"/>
      <c r="Q39" s="320"/>
      <c r="R39" s="320"/>
      <c r="S39" s="320"/>
      <c r="T39" s="320"/>
      <c r="U39" s="320"/>
      <c r="V39" s="320"/>
      <c r="W39" s="320"/>
      <c r="X39" s="320"/>
      <c r="Y39" s="320"/>
      <c r="Z39" s="320"/>
      <c r="AA39" s="320"/>
      <c r="AB39" s="320"/>
    </row>
    <row r="40" spans="1:29" outlineLevel="2" x14ac:dyDescent="0.25">
      <c r="A40" s="672"/>
      <c r="B40" s="673"/>
      <c r="C40" s="673"/>
      <c r="D40" s="80" t="s">
        <v>30</v>
      </c>
      <c r="E40" s="84">
        <f t="shared" si="5"/>
        <v>0</v>
      </c>
      <c r="F40" s="134"/>
      <c r="G40" s="134"/>
      <c r="H40" s="134"/>
      <c r="I40" s="135"/>
      <c r="J40" s="320"/>
      <c r="K40" s="320"/>
      <c r="L40" s="320"/>
      <c r="M40" s="320"/>
      <c r="N40" s="320"/>
      <c r="O40" s="320"/>
      <c r="P40" s="320"/>
      <c r="Q40" s="320"/>
      <c r="R40" s="320"/>
      <c r="S40" s="320"/>
      <c r="T40" s="320"/>
      <c r="U40" s="320"/>
      <c r="V40" s="320"/>
      <c r="W40" s="320"/>
      <c r="X40" s="320"/>
      <c r="Y40" s="320"/>
      <c r="Z40" s="320"/>
      <c r="AA40" s="320"/>
      <c r="AB40" s="320"/>
    </row>
    <row r="41" spans="1:29" outlineLevel="2" x14ac:dyDescent="0.25">
      <c r="A41" s="672"/>
      <c r="B41" s="673"/>
      <c r="C41" s="673"/>
      <c r="D41" s="80" t="s">
        <v>31</v>
      </c>
      <c r="E41" s="84">
        <f t="shared" si="5"/>
        <v>0</v>
      </c>
      <c r="F41" s="134"/>
      <c r="G41" s="134"/>
      <c r="H41" s="134"/>
      <c r="I41" s="135"/>
      <c r="J41" s="320"/>
      <c r="K41" s="320"/>
      <c r="L41" s="320"/>
      <c r="M41" s="320"/>
      <c r="N41" s="320"/>
      <c r="O41" s="320"/>
      <c r="P41" s="320"/>
      <c r="Q41" s="320"/>
      <c r="R41" s="320"/>
      <c r="S41" s="320"/>
      <c r="T41" s="320"/>
      <c r="U41" s="320"/>
      <c r="V41" s="320"/>
      <c r="W41" s="320"/>
      <c r="X41" s="320"/>
      <c r="Y41" s="320"/>
      <c r="Z41" s="320"/>
      <c r="AA41" s="320"/>
      <c r="AB41" s="320"/>
    </row>
    <row r="42" spans="1:29" outlineLevel="2" x14ac:dyDescent="0.25">
      <c r="A42" s="672"/>
      <c r="B42" s="673"/>
      <c r="C42" s="673"/>
      <c r="D42" s="80" t="s">
        <v>32</v>
      </c>
      <c r="E42" s="84">
        <f t="shared" si="5"/>
        <v>0</v>
      </c>
      <c r="F42" s="134"/>
      <c r="G42" s="134"/>
      <c r="H42" s="134"/>
      <c r="I42" s="135"/>
      <c r="J42" s="320"/>
      <c r="K42" s="320"/>
      <c r="L42" s="320"/>
      <c r="M42" s="320"/>
      <c r="N42" s="320"/>
      <c r="O42" s="320"/>
      <c r="P42" s="320"/>
      <c r="Q42" s="320"/>
      <c r="R42" s="320"/>
      <c r="S42" s="320"/>
      <c r="T42" s="320"/>
      <c r="U42" s="320"/>
      <c r="V42" s="320"/>
      <c r="W42" s="320"/>
      <c r="X42" s="320"/>
      <c r="Y42" s="320"/>
      <c r="Z42" s="320"/>
      <c r="AA42" s="320"/>
      <c r="AB42" s="320"/>
    </row>
    <row r="43" spans="1:29" outlineLevel="2" x14ac:dyDescent="0.25">
      <c r="A43" s="672"/>
      <c r="B43" s="673"/>
      <c r="C43" s="673"/>
      <c r="D43" s="80" t="s">
        <v>33</v>
      </c>
      <c r="E43" s="84">
        <f t="shared" si="5"/>
        <v>0</v>
      </c>
      <c r="F43" s="134"/>
      <c r="G43" s="134"/>
      <c r="H43" s="134"/>
      <c r="I43" s="135"/>
      <c r="J43" s="320"/>
      <c r="K43" s="320"/>
      <c r="L43" s="320"/>
      <c r="M43" s="320"/>
      <c r="N43" s="320"/>
      <c r="O43" s="320"/>
      <c r="P43" s="320"/>
      <c r="Q43" s="320"/>
      <c r="R43" s="320"/>
      <c r="S43" s="320"/>
      <c r="T43" s="320"/>
      <c r="U43" s="320"/>
      <c r="V43" s="320"/>
      <c r="W43" s="320"/>
      <c r="X43" s="320"/>
      <c r="Y43" s="320"/>
      <c r="Z43" s="320"/>
      <c r="AA43" s="320"/>
      <c r="AB43" s="320"/>
    </row>
    <row r="44" spans="1:29" outlineLevel="2" x14ac:dyDescent="0.25">
      <c r="A44" s="672"/>
      <c r="B44" s="673"/>
      <c r="C44" s="673"/>
      <c r="D44" s="80" t="s">
        <v>34</v>
      </c>
      <c r="E44" s="84">
        <f t="shared" si="5"/>
        <v>0</v>
      </c>
      <c r="F44" s="134"/>
      <c r="G44" s="134"/>
      <c r="H44" s="134"/>
      <c r="I44" s="135"/>
      <c r="J44" s="320"/>
      <c r="K44" s="320"/>
      <c r="L44" s="320"/>
      <c r="M44" s="320"/>
      <c r="N44" s="320"/>
      <c r="O44" s="320"/>
      <c r="P44" s="320"/>
      <c r="Q44" s="320"/>
      <c r="R44" s="320"/>
      <c r="S44" s="320"/>
      <c r="T44" s="320"/>
      <c r="U44" s="320"/>
      <c r="V44" s="320"/>
      <c r="W44" s="320"/>
      <c r="X44" s="320"/>
      <c r="Y44" s="320"/>
      <c r="Z44" s="320"/>
      <c r="AA44" s="320"/>
      <c r="AB44" s="320"/>
    </row>
    <row r="45" spans="1:29" ht="15.75" outlineLevel="2" thickBot="1" x14ac:dyDescent="0.3">
      <c r="A45" s="672"/>
      <c r="B45" s="673"/>
      <c r="C45" s="673"/>
      <c r="D45" s="81" t="s">
        <v>35</v>
      </c>
      <c r="E45" s="85">
        <f t="shared" si="5"/>
        <v>0</v>
      </c>
      <c r="F45" s="136"/>
      <c r="G45" s="136"/>
      <c r="H45" s="136"/>
      <c r="I45" s="137"/>
      <c r="J45" s="321"/>
      <c r="K45" s="321"/>
      <c r="L45" s="321"/>
      <c r="M45" s="321"/>
      <c r="N45" s="321"/>
      <c r="O45" s="321"/>
      <c r="P45" s="321"/>
      <c r="Q45" s="321"/>
      <c r="R45" s="321"/>
      <c r="S45" s="321"/>
      <c r="T45" s="321"/>
      <c r="U45" s="321"/>
      <c r="V45" s="321"/>
      <c r="W45" s="321"/>
      <c r="X45" s="321"/>
      <c r="Y45" s="321"/>
      <c r="Z45" s="321"/>
      <c r="AA45" s="321"/>
      <c r="AB45" s="321"/>
    </row>
    <row r="46" spans="1:29" outlineLevel="2" x14ac:dyDescent="0.25">
      <c r="A46" s="672" t="s">
        <v>76</v>
      </c>
      <c r="B46" s="673" t="s">
        <v>77</v>
      </c>
      <c r="C46" s="673">
        <v>637001</v>
      </c>
      <c r="D46" s="79" t="s">
        <v>26</v>
      </c>
      <c r="E46" s="84">
        <f t="shared" si="5"/>
        <v>0</v>
      </c>
      <c r="F46" s="133"/>
      <c r="G46" s="133"/>
      <c r="H46" s="133">
        <f>(SUM(H$26:H$35) /SUM($E$26:$E$35))*$AC$46</f>
        <v>0</v>
      </c>
      <c r="I46" s="133">
        <f>(SUM(I$26:I$35) /SUM($E$26:$E$35))*$AC$46</f>
        <v>0</v>
      </c>
      <c r="J46" s="133">
        <f>(SUM(J$26:J$35) /SUM($E$26:$E$35))*$AC$46</f>
        <v>0</v>
      </c>
      <c r="K46" s="133">
        <f>(SUM(K$26:K$35) /SUM($E$26:$E$35))*$AC$46</f>
        <v>0</v>
      </c>
      <c r="L46" s="133">
        <f>(SUM(L$26:L$35) /SUM($E$26:$E$35))*$AC$46</f>
        <v>0</v>
      </c>
      <c r="M46" s="133">
        <f>(SUM(M$26:M$35) /SUM($E$26:$E$35))*$AC$46</f>
        <v>0</v>
      </c>
      <c r="N46" s="133">
        <f>(SUM(N$26:N$35) /SUM($E$26:$E$35))*$AC$46</f>
        <v>0</v>
      </c>
      <c r="O46" s="133">
        <f>(SUM(O$26:O$35) /SUM($E$26:$E$35))*$AC$46</f>
        <v>0</v>
      </c>
      <c r="P46" s="133">
        <f>(SUM(P$26:P$35) /SUM($E$26:$E$35))*$AC$46</f>
        <v>0</v>
      </c>
      <c r="Q46" s="133">
        <f>(SUM(Q$26:Q$35) /SUM($E$26:$E$35))*$AC$46</f>
        <v>0</v>
      </c>
      <c r="R46" s="133">
        <f>(SUM(R$27:R$35) /SUM($E$26:$E$35))*$AC$46</f>
        <v>0</v>
      </c>
      <c r="S46" s="133">
        <f>(SUM(S$27:S$35) /SUM($E$26:$E$35))*$AC$46</f>
        <v>0</v>
      </c>
      <c r="T46" s="133">
        <f>(SUM(T$27:T$35) /SUM($E$26:$E$35))*$AC$46</f>
        <v>0</v>
      </c>
      <c r="U46" s="133">
        <f>(SUM(U$27:U$35) /SUM($E$26:$E$35))*$AC$46</f>
        <v>0</v>
      </c>
      <c r="V46" s="133">
        <f>(SUM(V$27:V$35) /SUM($E$26:$E$35))*$AC$46</f>
        <v>0</v>
      </c>
      <c r="W46" s="133">
        <f>(SUM(W$27:W$35) /SUM($E$26:$E$35))*$AC$46</f>
        <v>0</v>
      </c>
      <c r="X46" s="133">
        <f>(SUM(X$27:X$35) /SUM($E$26:$E$35))*$AC$46</f>
        <v>0</v>
      </c>
      <c r="Y46" s="133">
        <f>(SUM(Y$27:Y$35) /SUM($E$26:$E$35))*$AC$46</f>
        <v>0</v>
      </c>
      <c r="Z46" s="133">
        <f>(SUM(Z$27:Z$35) /SUM($E$26:$E$35))*$AC$46</f>
        <v>0</v>
      </c>
      <c r="AA46" s="133">
        <f>(SUM(AA$26:AA$35) /SUM($E$26:$E$35))*$AC$46</f>
        <v>0</v>
      </c>
      <c r="AB46" s="133">
        <f>(SUM(AB$26:AB$35) /SUM($E$26:$E$35))*$AC$46</f>
        <v>0</v>
      </c>
      <c r="AC46" s="448"/>
    </row>
    <row r="47" spans="1:29" outlineLevel="2" x14ac:dyDescent="0.25">
      <c r="A47" s="672"/>
      <c r="B47" s="673"/>
      <c r="C47" s="673"/>
      <c r="D47" s="80" t="s">
        <v>27</v>
      </c>
      <c r="E47" s="84">
        <f t="shared" si="5"/>
        <v>0</v>
      </c>
      <c r="F47" s="134"/>
      <c r="G47" s="134"/>
      <c r="H47" s="134"/>
      <c r="I47" s="135"/>
      <c r="J47" s="320"/>
      <c r="K47" s="320"/>
      <c r="L47" s="320"/>
      <c r="M47" s="320"/>
      <c r="N47" s="320"/>
      <c r="O47" s="320"/>
      <c r="P47" s="320"/>
      <c r="Q47" s="320"/>
      <c r="R47" s="320"/>
      <c r="S47" s="320"/>
      <c r="T47" s="320"/>
      <c r="U47" s="320"/>
      <c r="V47" s="320"/>
      <c r="W47" s="320"/>
      <c r="X47" s="320"/>
      <c r="Y47" s="320"/>
      <c r="Z47" s="320"/>
      <c r="AA47" s="320"/>
      <c r="AB47" s="320"/>
    </row>
    <row r="48" spans="1:29" outlineLevel="2" x14ac:dyDescent="0.25">
      <c r="A48" s="672"/>
      <c r="B48" s="673"/>
      <c r="C48" s="673"/>
      <c r="D48" s="80" t="s">
        <v>28</v>
      </c>
      <c r="E48" s="84">
        <f t="shared" si="5"/>
        <v>0</v>
      </c>
      <c r="F48" s="134"/>
      <c r="G48" s="134"/>
      <c r="H48" s="134"/>
      <c r="I48" s="135"/>
      <c r="J48" s="320"/>
      <c r="K48" s="320"/>
      <c r="L48" s="320"/>
      <c r="M48" s="320"/>
      <c r="N48" s="320"/>
      <c r="O48" s="320"/>
      <c r="P48" s="320"/>
      <c r="Q48" s="320"/>
      <c r="R48" s="320"/>
      <c r="S48" s="320"/>
      <c r="T48" s="320"/>
      <c r="U48" s="320"/>
      <c r="V48" s="320"/>
      <c r="W48" s="320"/>
      <c r="X48" s="320"/>
      <c r="Y48" s="320"/>
      <c r="Z48" s="320"/>
      <c r="AA48" s="320"/>
      <c r="AB48" s="320"/>
    </row>
    <row r="49" spans="1:29" outlineLevel="2" x14ac:dyDescent="0.25">
      <c r="A49" s="672"/>
      <c r="B49" s="673"/>
      <c r="C49" s="673"/>
      <c r="D49" s="80" t="s">
        <v>29</v>
      </c>
      <c r="E49" s="84">
        <f t="shared" si="5"/>
        <v>0</v>
      </c>
      <c r="F49" s="134"/>
      <c r="G49" s="134"/>
      <c r="H49" s="134"/>
      <c r="I49" s="135"/>
      <c r="J49" s="320"/>
      <c r="K49" s="320"/>
      <c r="L49" s="320"/>
      <c r="M49" s="320"/>
      <c r="N49" s="320"/>
      <c r="O49" s="320"/>
      <c r="P49" s="320"/>
      <c r="Q49" s="320"/>
      <c r="R49" s="320"/>
      <c r="S49" s="320"/>
      <c r="T49" s="320"/>
      <c r="U49" s="320"/>
      <c r="V49" s="320"/>
      <c r="W49" s="320"/>
      <c r="X49" s="320"/>
      <c r="Y49" s="320"/>
      <c r="Z49" s="320"/>
      <c r="AA49" s="320"/>
      <c r="AB49" s="320"/>
    </row>
    <row r="50" spans="1:29" outlineLevel="2" x14ac:dyDescent="0.25">
      <c r="A50" s="672"/>
      <c r="B50" s="673"/>
      <c r="C50" s="673"/>
      <c r="D50" s="80" t="s">
        <v>30</v>
      </c>
      <c r="E50" s="84">
        <f t="shared" si="5"/>
        <v>0</v>
      </c>
      <c r="F50" s="134"/>
      <c r="G50" s="134"/>
      <c r="H50" s="134"/>
      <c r="I50" s="135"/>
      <c r="J50" s="320"/>
      <c r="K50" s="320"/>
      <c r="L50" s="320"/>
      <c r="M50" s="320"/>
      <c r="N50" s="320"/>
      <c r="O50" s="320"/>
      <c r="P50" s="320"/>
      <c r="Q50" s="320"/>
      <c r="R50" s="320"/>
      <c r="S50" s="320"/>
      <c r="T50" s="320"/>
      <c r="U50" s="320"/>
      <c r="V50" s="320"/>
      <c r="W50" s="320"/>
      <c r="X50" s="320"/>
      <c r="Y50" s="320"/>
      <c r="Z50" s="320"/>
      <c r="AA50" s="320"/>
      <c r="AB50" s="320"/>
    </row>
    <row r="51" spans="1:29" outlineLevel="2" x14ac:dyDescent="0.25">
      <c r="A51" s="672"/>
      <c r="B51" s="673"/>
      <c r="C51" s="673"/>
      <c r="D51" s="80" t="s">
        <v>31</v>
      </c>
      <c r="E51" s="84">
        <f t="shared" si="5"/>
        <v>0</v>
      </c>
      <c r="F51" s="134"/>
      <c r="G51" s="134"/>
      <c r="H51" s="134"/>
      <c r="I51" s="135"/>
      <c r="J51" s="320"/>
      <c r="K51" s="320"/>
      <c r="L51" s="320"/>
      <c r="M51" s="320"/>
      <c r="N51" s="320"/>
      <c r="O51" s="320"/>
      <c r="P51" s="320"/>
      <c r="Q51" s="320"/>
      <c r="R51" s="320"/>
      <c r="S51" s="320"/>
      <c r="T51" s="320"/>
      <c r="U51" s="320"/>
      <c r="V51" s="320"/>
      <c r="W51" s="320"/>
      <c r="X51" s="320"/>
      <c r="Y51" s="320"/>
      <c r="Z51" s="320"/>
      <c r="AA51" s="320"/>
      <c r="AB51" s="320"/>
    </row>
    <row r="52" spans="1:29" outlineLevel="2" x14ac:dyDescent="0.25">
      <c r="A52" s="672"/>
      <c r="B52" s="673"/>
      <c r="C52" s="673"/>
      <c r="D52" s="80" t="s">
        <v>32</v>
      </c>
      <c r="E52" s="84">
        <f t="shared" si="5"/>
        <v>0</v>
      </c>
      <c r="F52" s="134"/>
      <c r="G52" s="134"/>
      <c r="H52" s="134"/>
      <c r="I52" s="135"/>
      <c r="J52" s="320"/>
      <c r="K52" s="320"/>
      <c r="L52" s="320"/>
      <c r="M52" s="320"/>
      <c r="N52" s="320"/>
      <c r="O52" s="320"/>
      <c r="P52" s="320"/>
      <c r="Q52" s="320"/>
      <c r="R52" s="320"/>
      <c r="S52" s="320"/>
      <c r="T52" s="320"/>
      <c r="U52" s="320"/>
      <c r="V52" s="320"/>
      <c r="W52" s="320"/>
      <c r="X52" s="320"/>
      <c r="Y52" s="320"/>
      <c r="Z52" s="320"/>
      <c r="AA52" s="320"/>
      <c r="AB52" s="320"/>
    </row>
    <row r="53" spans="1:29" outlineLevel="2" x14ac:dyDescent="0.25">
      <c r="A53" s="672"/>
      <c r="B53" s="673"/>
      <c r="C53" s="673"/>
      <c r="D53" s="80" t="s">
        <v>33</v>
      </c>
      <c r="E53" s="84">
        <f t="shared" si="5"/>
        <v>0</v>
      </c>
      <c r="F53" s="134"/>
      <c r="G53" s="134"/>
      <c r="H53" s="134"/>
      <c r="I53" s="135"/>
      <c r="J53" s="320"/>
      <c r="K53" s="320"/>
      <c r="L53" s="320"/>
      <c r="M53" s="320"/>
      <c r="N53" s="320"/>
      <c r="O53" s="320"/>
      <c r="P53" s="320"/>
      <c r="Q53" s="320"/>
      <c r="R53" s="320"/>
      <c r="S53" s="320"/>
      <c r="T53" s="320"/>
      <c r="U53" s="320"/>
      <c r="V53" s="320"/>
      <c r="W53" s="320"/>
      <c r="X53" s="320"/>
      <c r="Y53" s="320"/>
      <c r="Z53" s="320"/>
      <c r="AA53" s="320"/>
      <c r="AB53" s="320"/>
    </row>
    <row r="54" spans="1:29" outlineLevel="2" x14ac:dyDescent="0.25">
      <c r="A54" s="672"/>
      <c r="B54" s="673"/>
      <c r="C54" s="673"/>
      <c r="D54" s="80" t="s">
        <v>34</v>
      </c>
      <c r="E54" s="84">
        <f t="shared" si="5"/>
        <v>0</v>
      </c>
      <c r="F54" s="134"/>
      <c r="G54" s="134"/>
      <c r="H54" s="134"/>
      <c r="I54" s="135"/>
      <c r="J54" s="320"/>
      <c r="K54" s="320"/>
      <c r="L54" s="320"/>
      <c r="M54" s="320"/>
      <c r="N54" s="320"/>
      <c r="O54" s="320"/>
      <c r="P54" s="320"/>
      <c r="Q54" s="320"/>
      <c r="R54" s="320"/>
      <c r="S54" s="320"/>
      <c r="T54" s="320"/>
      <c r="U54" s="320"/>
      <c r="V54" s="320"/>
      <c r="W54" s="320"/>
      <c r="X54" s="320"/>
      <c r="Y54" s="320"/>
      <c r="Z54" s="320"/>
      <c r="AA54" s="320"/>
      <c r="AB54" s="320"/>
    </row>
    <row r="55" spans="1:29" ht="15.75" outlineLevel="2" thickBot="1" x14ac:dyDescent="0.3">
      <c r="A55" s="672"/>
      <c r="B55" s="673"/>
      <c r="C55" s="673"/>
      <c r="D55" s="80" t="s">
        <v>35</v>
      </c>
      <c r="E55" s="85">
        <f t="shared" si="5"/>
        <v>0</v>
      </c>
      <c r="F55" s="136"/>
      <c r="G55" s="136"/>
      <c r="H55" s="136"/>
      <c r="I55" s="137"/>
      <c r="J55" s="321"/>
      <c r="K55" s="321"/>
      <c r="L55" s="321"/>
      <c r="M55" s="321"/>
      <c r="N55" s="321"/>
      <c r="O55" s="321"/>
      <c r="P55" s="321"/>
      <c r="Q55" s="321"/>
      <c r="R55" s="321"/>
      <c r="S55" s="321"/>
      <c r="T55" s="321"/>
      <c r="U55" s="321"/>
      <c r="V55" s="321"/>
      <c r="W55" s="321"/>
      <c r="X55" s="321"/>
      <c r="Y55" s="321"/>
      <c r="Z55" s="321"/>
      <c r="AA55" s="321"/>
      <c r="AB55" s="321"/>
    </row>
    <row r="56" spans="1:29" ht="30.75" outlineLevel="2" thickBot="1" x14ac:dyDescent="0.3">
      <c r="A56" s="433" t="s">
        <v>276</v>
      </c>
      <c r="C56" s="434"/>
      <c r="D56" s="79"/>
      <c r="E56" s="449">
        <f t="shared" si="5"/>
        <v>359808</v>
      </c>
      <c r="F56" s="450"/>
      <c r="G56" s="450"/>
      <c r="H56" s="450">
        <f>(SUM(H$26:H$35) /SUM($E$26:$E$35))*$AC$56</f>
        <v>26089.07957186838</v>
      </c>
      <c r="I56" s="450">
        <f>(SUM(I$26:I$35) /SUM($E$26:$E$35))*$AC$56</f>
        <v>11537.763759659359</v>
      </c>
      <c r="J56" s="450">
        <f>(SUM(J$26:J$35) /SUM($E$26:$E$35))*$AC$56</f>
        <v>0</v>
      </c>
      <c r="K56" s="450">
        <f>(SUM(K$26:K$35) /SUM($E$26:$E$35))*$AC$56</f>
        <v>29196.792276626227</v>
      </c>
      <c r="L56" s="450">
        <f>(SUM(L$26:L$35) /SUM($E$26:$E$35))*$AC$56</f>
        <v>30917.999657165583</v>
      </c>
      <c r="M56" s="450">
        <f>(SUM(M$26:M$35) /SUM($E$26:$E$35))*$AC$56</f>
        <v>26162.269947820598</v>
      </c>
      <c r="N56" s="450">
        <f>(SUM(N$26:N$35) /SUM($E$26:$E$35))*$AC$56</f>
        <v>32103.43703845916</v>
      </c>
      <c r="O56" s="450">
        <f>(SUM(O$26:O$35) /SUM($E$26:$E$35))*$AC$56</f>
        <v>38833.250989077293</v>
      </c>
      <c r="P56" s="450">
        <f>(SUM(P$26:P$35) /SUM($E$26:$E$35))*$AC$56</f>
        <v>38291.313261520947</v>
      </c>
      <c r="Q56" s="450">
        <f>(SUM(Q$26:Q$35) /SUM($E$26:$E$35))*$AC$56</f>
        <v>25969.425642643117</v>
      </c>
      <c r="R56" s="450">
        <f>(SUM(R$27:R$35) /SUM($E$26:$E$35))*$AC$56</f>
        <v>0</v>
      </c>
      <c r="S56" s="450">
        <f>(SUM(S$27:S$35) /SUM($E$26:$E$35))*$AC$56</f>
        <v>0</v>
      </c>
      <c r="T56" s="450">
        <f>(SUM(T$27:T$35) /SUM($E$26:$E$35))*$AC$56</f>
        <v>0</v>
      </c>
      <c r="U56" s="450">
        <f>(SUM(U$27:U$35) /SUM($E$26:$E$35))*$AC$56</f>
        <v>0</v>
      </c>
      <c r="V56" s="450">
        <f>(SUM(V$27:V$35) /SUM($E$26:$E$35))*$AC$56</f>
        <v>0</v>
      </c>
      <c r="W56" s="450">
        <f>(SUM(W$27:W$35) /SUM($E$26:$E$35))*$AC$56</f>
        <v>11225.265525256611</v>
      </c>
      <c r="X56" s="450">
        <f>(SUM(X$27:X$35) /SUM($E$26:$E$35))*$AC$56</f>
        <v>0</v>
      </c>
      <c r="Y56" s="450">
        <f>(SUM(Y$27:Y$35) /SUM($E$26:$E$35))*$AC$56</f>
        <v>0</v>
      </c>
      <c r="Z56" s="450">
        <f>(SUM(Z$27:Z$35) /SUM($E$26:$E$35))*$AC$56</f>
        <v>3046.8577854267946</v>
      </c>
      <c r="AA56" s="450">
        <f>(SUM(AA$26:AA$35) /SUM($E$26:$E$35))*$AC$56</f>
        <v>29232.5651008276</v>
      </c>
      <c r="AB56" s="450">
        <f>(SUM(AB$26:AB$35) /SUM($E$26:$E$35))*$AC$56</f>
        <v>57201.979443648306</v>
      </c>
      <c r="AC56" s="516">
        <f>'Indikativny rozpočet'!I27</f>
        <v>359808</v>
      </c>
    </row>
    <row r="57" spans="1:29" ht="15.75" outlineLevel="2" thickBot="1" x14ac:dyDescent="0.3">
      <c r="A57" s="433" t="s">
        <v>263</v>
      </c>
      <c r="B57" s="434"/>
      <c r="C57" s="434"/>
      <c r="D57" s="81"/>
      <c r="E57" s="451">
        <f t="shared" si="5"/>
        <v>170880</v>
      </c>
      <c r="F57" s="450"/>
      <c r="G57" s="450"/>
      <c r="H57" s="450">
        <f>(SUM(H$26:H$35) /SUM($E$26:$E$35))*$AC$57</f>
        <v>12390.224556543681</v>
      </c>
      <c r="I57" s="450">
        <f>(SUM(I$26:I$35) /SUM($E$26:$E$35))*$AC$57</f>
        <v>5479.5142721968141</v>
      </c>
      <c r="J57" s="450">
        <f>(SUM(J$26:J$35) /SUM($E$26:$E$35))*$AC$57</f>
        <v>0</v>
      </c>
      <c r="K57" s="450">
        <f>(SUM(K$26:K$35) /SUM($E$26:$E$35))*$AC$57</f>
        <v>13866.139341620781</v>
      </c>
      <c r="L57" s="450">
        <f>(SUM(L$26:L$35) /SUM($E$26:$E$35))*$AC$57</f>
        <v>14683.575077309162</v>
      </c>
      <c r="M57" s="450">
        <f>(SUM(M$26:M$35) /SUM($E$26:$E$35))*$AC$57</f>
        <v>12424.984126766452</v>
      </c>
      <c r="N57" s="450">
        <f>(SUM(N$26:N$35) /SUM($E$26:$E$35))*$AC$57</f>
        <v>15246.562947827457</v>
      </c>
      <c r="O57" s="450">
        <f>(SUM(O$26:O$35) /SUM($E$26:$E$35))*$AC$57</f>
        <v>18442.685901963068</v>
      </c>
      <c r="P57" s="450">
        <f>(SUM(P$26:P$35) /SUM($E$26:$E$35))*$AC$57</f>
        <v>18185.308859527024</v>
      </c>
      <c r="Q57" s="450">
        <f>(SUM(Q$26:Q$35) /SUM($E$26:$E$35))*$AC$57</f>
        <v>12333.398517583977</v>
      </c>
      <c r="R57" s="450">
        <f>(SUM(R$27:R$35) /SUM($E$26:$E$35))*$AC$57</f>
        <v>0</v>
      </c>
      <c r="S57" s="450">
        <f>(SUM(S$27:S$35) /SUM($E$26:$E$35))*$AC$57</f>
        <v>0</v>
      </c>
      <c r="T57" s="450">
        <f>(SUM(T$27:T$35) /SUM($E$26:$E$35))*$AC$57</f>
        <v>0</v>
      </c>
      <c r="U57" s="450">
        <f>(SUM(U$27:U$35) /SUM($E$26:$E$35))*$AC$57</f>
        <v>0</v>
      </c>
      <c r="V57" s="450">
        <f>(SUM(V$27:V$35) /SUM($E$26:$E$35))*$AC$57</f>
        <v>0</v>
      </c>
      <c r="W57" s="450">
        <f>(SUM(W$27:W$35) /SUM($E$26:$E$35))*$AC$57</f>
        <v>5331.1026240546335</v>
      </c>
      <c r="X57" s="450">
        <f>(SUM(X$27:X$35) /SUM($E$26:$E$35))*$AC$57</f>
        <v>0</v>
      </c>
      <c r="Y57" s="450">
        <f>(SUM(Y$27:Y$35) /SUM($E$26:$E$35))*$AC$57</f>
        <v>0</v>
      </c>
      <c r="Z57" s="450">
        <f>(SUM(Z$27:Z$35) /SUM($E$26:$E$35))*$AC$57</f>
        <v>1447.0135693862578</v>
      </c>
      <c r="AA57" s="450">
        <f>(SUM(AA$26:AA$35) /SUM($E$26:$E$35))*$AC$57</f>
        <v>13883.128569763376</v>
      </c>
      <c r="AB57" s="450">
        <f>(SUM(AB$26:AB$35) /SUM($E$26:$E$35))*$AC$57</f>
        <v>27166.361635457306</v>
      </c>
      <c r="AC57" s="516">
        <f>'Indikativny rozpočet'!I3</f>
        <v>170880</v>
      </c>
    </row>
    <row r="58" spans="1:29" ht="25.5" customHeight="1" outlineLevel="2" thickBot="1" x14ac:dyDescent="0.3">
      <c r="A58" s="433" t="s">
        <v>271</v>
      </c>
      <c r="B58" s="434"/>
      <c r="C58" s="434"/>
      <c r="D58" s="80"/>
      <c r="E58" s="449">
        <f t="shared" si="5"/>
        <v>117072</v>
      </c>
      <c r="F58" s="450"/>
      <c r="G58" s="450"/>
      <c r="H58" s="450">
        <f>(SUM(H$26:H$35) /SUM($E$26:$E$35))*$AC$58</f>
        <v>8488.6959812949553</v>
      </c>
      <c r="I58" s="450">
        <f>(SUM(I$26:I$35) /SUM($E$26:$E$35))*$AC$58</f>
        <v>3754.0829522157387</v>
      </c>
      <c r="J58" s="450">
        <f>(SUM(J$26:J$35) /SUM($E$26:$E$35))*$AC$58</f>
        <v>0</v>
      </c>
      <c r="K58" s="450">
        <f>(SUM(K$26:K$35) /SUM($E$26:$E$35))*$AC$58</f>
        <v>9499.8634421946863</v>
      </c>
      <c r="L58" s="450">
        <f>(SUM(L$26:L$35) /SUM($E$26:$E$35))*$AC$58</f>
        <v>10059.898767853103</v>
      </c>
      <c r="M58" s="450">
        <f>(SUM(M$26:M$35) /SUM($E$26:$E$35))*$AC$58</f>
        <v>8512.5101924672417</v>
      </c>
      <c r="N58" s="450">
        <f>(SUM(N$26:N$35) /SUM($E$26:$E$35))*$AC$58</f>
        <v>10445.608716222237</v>
      </c>
      <c r="O58" s="450">
        <f>(SUM(O$26:O$35) /SUM($E$26:$E$35))*$AC$58</f>
        <v>12635.312054743799</v>
      </c>
      <c r="P58" s="450">
        <f>(SUM(P$26:P$35) /SUM($E$26:$E$35))*$AC$58</f>
        <v>12458.979861906295</v>
      </c>
      <c r="Q58" s="450">
        <f>(SUM(Q$26:Q$35) /SUM($E$26:$E$35))*$AC$58</f>
        <v>8449.7637596593595</v>
      </c>
      <c r="R58" s="450">
        <f>(SUM(R$27:R$35) /SUM($E$26:$E$35))*$AC$58</f>
        <v>0</v>
      </c>
      <c r="S58" s="450">
        <f>(SUM(S$27:S$35) /SUM($E$26:$E$35))*$AC$58</f>
        <v>0</v>
      </c>
      <c r="T58" s="450">
        <f>(SUM(T$27:T$35) /SUM($E$26:$E$35))*$AC$58</f>
        <v>0</v>
      </c>
      <c r="U58" s="450">
        <f>(SUM(U$27:U$35) /SUM($E$26:$E$35))*$AC$58</f>
        <v>0</v>
      </c>
      <c r="V58" s="450">
        <f>(SUM(V$27:V$35) /SUM($E$26:$E$35))*$AC$58</f>
        <v>0</v>
      </c>
      <c r="W58" s="450">
        <f>(SUM(W$27:W$35) /SUM($E$26:$E$35))*$AC$58</f>
        <v>3652.404297772262</v>
      </c>
      <c r="X58" s="450">
        <f>(SUM(X$27:X$35) /SUM($E$26:$E$35))*$AC$58</f>
        <v>0</v>
      </c>
      <c r="Y58" s="450">
        <f>(SUM(Y$27:Y$35) /SUM($E$26:$E$35))*$AC$58</f>
        <v>0</v>
      </c>
      <c r="Z58" s="450">
        <f>(SUM(Z$27:Z$35) /SUM($E$26:$E$35))*$AC$58</f>
        <v>991.36688082389958</v>
      </c>
      <c r="AA58" s="450">
        <f>(SUM(AA$26:AA$35) /SUM($E$26:$E$35))*$AC$58</f>
        <v>9511.5029723744028</v>
      </c>
      <c r="AB58" s="450">
        <f>(SUM(AB$26:AB$35) /SUM($E$26:$E$35))*$AC$58</f>
        <v>18612.010120472016</v>
      </c>
      <c r="AC58" s="516">
        <f>'Indikativny rozpočet'!I10</f>
        <v>117072</v>
      </c>
    </row>
    <row r="59" spans="1:29" ht="15.75" outlineLevel="2" thickBot="1" x14ac:dyDescent="0.3">
      <c r="A59" s="433" t="s">
        <v>291</v>
      </c>
      <c r="B59" s="434"/>
      <c r="C59" s="434"/>
      <c r="D59" s="80"/>
      <c r="E59" s="451">
        <f t="shared" si="5"/>
        <v>127007.99999999997</v>
      </c>
      <c r="F59" s="450"/>
      <c r="G59" s="450"/>
      <c r="H59" s="450">
        <f>(SUM(H$26:H$35) /SUM($E$26:$E$35))*$AC$59</f>
        <v>9209.1388136557816</v>
      </c>
      <c r="I59" s="450">
        <f>(SUM(I$26:I$35) /SUM($E$26:$E$35))*$AC$59</f>
        <v>4072.6951584923509</v>
      </c>
      <c r="J59" s="450">
        <f>(SUM(J$26:J$35) /SUM($E$26:$E$35))*$AC$59</f>
        <v>0</v>
      </c>
      <c r="K59" s="450">
        <f>(SUM(K$26:K$35) /SUM($E$26:$E$35))*$AC$59</f>
        <v>10306.124915148479</v>
      </c>
      <c r="L59" s="450">
        <f>(SUM(L$26:L$35) /SUM($E$26:$E$35))*$AC$59</f>
        <v>10913.69091420226</v>
      </c>
      <c r="M59" s="450">
        <f>(SUM(M$26:M$35) /SUM($E$26:$E$35))*$AC$59</f>
        <v>9234.9741571415834</v>
      </c>
      <c r="N59" s="450">
        <f>(SUM(N$26:N$35) /SUM($E$26:$E$35))*$AC$59</f>
        <v>11332.136393244789</v>
      </c>
      <c r="O59" s="450">
        <f>(SUM(O$26:O$35) /SUM($E$26:$E$35))*$AC$59</f>
        <v>13707.681712526482</v>
      </c>
      <c r="P59" s="450">
        <f>(SUM(P$26:P$35) /SUM($E$26:$E$35))*$AC$59</f>
        <v>13516.38405682823</v>
      </c>
      <c r="Q59" s="450">
        <f>(SUM(Q$26:Q$35) /SUM($E$26:$E$35))*$AC$59</f>
        <v>9166.9023813278654</v>
      </c>
      <c r="R59" s="450">
        <f>(SUM(R$27:R$35) /SUM($E$26:$E$35))*$AC$59</f>
        <v>0</v>
      </c>
      <c r="S59" s="450">
        <f>(SUM(S$27:S$35) /SUM($E$26:$E$35))*$AC$59</f>
        <v>0</v>
      </c>
      <c r="T59" s="450">
        <f>(SUM(T$27:T$35) /SUM($E$26:$E$35))*$AC$59</f>
        <v>0</v>
      </c>
      <c r="U59" s="450">
        <f>(SUM(U$27:U$35) /SUM($E$26:$E$35))*$AC$59</f>
        <v>0</v>
      </c>
      <c r="V59" s="450">
        <f>(SUM(V$27:V$35) /SUM($E$26:$E$35))*$AC$59</f>
        <v>0</v>
      </c>
      <c r="W59" s="450">
        <f>(SUM(W$27:W$35) /SUM($E$26:$E$35))*$AC$59</f>
        <v>3962.3869503507194</v>
      </c>
      <c r="X59" s="450">
        <f>(SUM(X$27:X$35) /SUM($E$26:$E$35))*$AC$59</f>
        <v>0</v>
      </c>
      <c r="Y59" s="450">
        <f>(SUM(Y$27:Y$35) /SUM($E$26:$E$35))*$AC$59</f>
        <v>0</v>
      </c>
      <c r="Z59" s="450">
        <f>(SUM(Z$27:Z$35) /SUM($E$26:$E$35))*$AC$59</f>
        <v>1075.5050293809095</v>
      </c>
      <c r="AA59" s="450">
        <f>(SUM(AA$26:AA$35) /SUM($E$26:$E$35))*$AC$59</f>
        <v>10318.752302133116</v>
      </c>
      <c r="AB59" s="450">
        <f>(SUM(AB$26:AB$35) /SUM($E$26:$E$35))*$AC$59</f>
        <v>20191.627215567423</v>
      </c>
      <c r="AC59" s="516">
        <f>'Indikativny rozpočet'!I35</f>
        <v>127008</v>
      </c>
    </row>
    <row r="60" spans="1:29" ht="15.75" outlineLevel="2" thickBot="1" x14ac:dyDescent="0.3">
      <c r="A60" s="433" t="s">
        <v>273</v>
      </c>
      <c r="B60" s="434"/>
      <c r="C60" s="434"/>
      <c r="D60" s="80"/>
      <c r="E60" s="451">
        <f t="shared" si="5"/>
        <v>374465.86</v>
      </c>
      <c r="F60" s="450"/>
      <c r="G60" s="450"/>
      <c r="H60" s="450">
        <f>(SUM(H$26:H$35) /SUM($E$26:$E$35))*$AC$60</f>
        <v>27151.896618441293</v>
      </c>
      <c r="I60" s="450">
        <f>(SUM(I$26:I$35) /SUM($E$26:$E$35))*$AC$60</f>
        <v>12007.789234085054</v>
      </c>
      <c r="J60" s="450">
        <f>(SUM(J$26:J$35) /SUM($E$26:$E$35))*$AC$60</f>
        <v>0</v>
      </c>
      <c r="K60" s="450">
        <f>(SUM(K$26:K$35) /SUM($E$26:$E$35))*$AC$60</f>
        <v>30386.21133801416</v>
      </c>
      <c r="L60" s="450">
        <f>(SUM(L$26:L$35) /SUM($E$26:$E$35))*$AC$60</f>
        <v>32177.537272935049</v>
      </c>
      <c r="M60" s="450">
        <f>(SUM(M$26:M$35) /SUM($E$26:$E$35))*$AC$60</f>
        <v>27228.068624274045</v>
      </c>
      <c r="N60" s="450">
        <f>(SUM(N$26:N$35) /SUM($E$26:$E$35))*$AC$60</f>
        <v>33411.267007855473</v>
      </c>
      <c r="O60" s="450">
        <f>(SUM(O$26:O$35) /SUM($E$26:$E$35))*$AC$60</f>
        <v>40415.240150915706</v>
      </c>
      <c r="P60" s="450">
        <f>(SUM(P$26:P$35) /SUM($E$26:$E$35))*$AC$60</f>
        <v>39851.224961659675</v>
      </c>
      <c r="Q60" s="450">
        <f>(SUM(Q$26:Q$35) /SUM($E$26:$E$35))*$AC$60</f>
        <v>27027.368226883245</v>
      </c>
      <c r="R60" s="450">
        <f>(SUM(R$27:R$35) /SUM($E$26:$E$35))*$AC$60</f>
        <v>0</v>
      </c>
      <c r="S60" s="450">
        <f>(SUM(S$27:S$35) /SUM($E$26:$E$35))*$AC$60</f>
        <v>0</v>
      </c>
      <c r="T60" s="450">
        <f>(SUM(T$27:T$35) /SUM($E$26:$E$35))*$AC$60</f>
        <v>0</v>
      </c>
      <c r="U60" s="450">
        <f>(SUM(U$27:U$35) /SUM($E$26:$E$35))*$AC$60</f>
        <v>0</v>
      </c>
      <c r="V60" s="450">
        <f>(SUM(V$27:V$35) /SUM($E$26:$E$35))*$AC$60</f>
        <v>0</v>
      </c>
      <c r="W60" s="450">
        <f>(SUM(W$27:W$35) /SUM($E$26:$E$35))*$AC$60</f>
        <v>11682.560445136207</v>
      </c>
      <c r="X60" s="450">
        <f>(SUM(X$27:X$35) /SUM($E$26:$E$35))*$AC$60</f>
        <v>0</v>
      </c>
      <c r="Y60" s="450">
        <f>(SUM(Y$27:Y$35) /SUM($E$26:$E$35))*$AC$60</f>
        <v>0</v>
      </c>
      <c r="Z60" s="450">
        <f>(SUM(Z$27:Z$35) /SUM($E$26:$E$35))*$AC$60</f>
        <v>3170.9806922512562</v>
      </c>
      <c r="AA60" s="450">
        <f>(SUM(AA$26:AA$35) /SUM($E$26:$E$35))*$AC$60</f>
        <v>30423.441475696465</v>
      </c>
      <c r="AB60" s="450">
        <f>(SUM(AB$26:AB$35) /SUM($E$26:$E$35))*$AC$60</f>
        <v>59532.27395185233</v>
      </c>
      <c r="AC60" s="516">
        <f>SUM('Indikativny rozpočet'!I12:I15)</f>
        <v>374465.86</v>
      </c>
    </row>
    <row r="61" spans="1:29" ht="15.75" thickBot="1" x14ac:dyDescent="0.3">
      <c r="A61" s="674" t="s">
        <v>78</v>
      </c>
      <c r="B61" s="675"/>
      <c r="C61" s="675"/>
      <c r="D61" s="92"/>
      <c r="E61" s="89">
        <f>E62+E83</f>
        <v>8104542.4732799986</v>
      </c>
      <c r="F61" s="90">
        <f>F62+F83</f>
        <v>2400000</v>
      </c>
      <c r="G61" s="90">
        <f>G62+G83</f>
        <v>2880000</v>
      </c>
      <c r="H61" s="90">
        <f>H62+H83</f>
        <v>204802.87636607254</v>
      </c>
      <c r="I61" s="90">
        <f>I62+I83</f>
        <v>90573.038358870865</v>
      </c>
      <c r="J61" s="90">
        <f t="shared" ref="J61:AB61" si="6">J62+J83</f>
        <v>0</v>
      </c>
      <c r="K61" s="90">
        <f t="shared" si="6"/>
        <v>229198.85013358312</v>
      </c>
      <c r="L61" s="90">
        <f t="shared" si="6"/>
        <v>242710.56569203761</v>
      </c>
      <c r="M61" s="90">
        <f t="shared" si="6"/>
        <v>205377.43092159208</v>
      </c>
      <c r="N61" s="90">
        <f t="shared" si="6"/>
        <v>252016.41279070565</v>
      </c>
      <c r="O61" s="90">
        <f t="shared" si="6"/>
        <v>304846.38138727151</v>
      </c>
      <c r="P61" s="90">
        <f t="shared" si="6"/>
        <v>300592.09540876147</v>
      </c>
      <c r="Q61" s="90">
        <f t="shared" si="6"/>
        <v>203863.57650283555</v>
      </c>
      <c r="R61" s="90">
        <f t="shared" si="6"/>
        <v>0</v>
      </c>
      <c r="S61" s="90">
        <f t="shared" si="6"/>
        <v>0</v>
      </c>
      <c r="T61" s="90">
        <f t="shared" si="6"/>
        <v>0</v>
      </c>
      <c r="U61" s="90">
        <f t="shared" si="6"/>
        <v>0</v>
      </c>
      <c r="V61" s="90">
        <f t="shared" si="6"/>
        <v>0</v>
      </c>
      <c r="W61" s="90">
        <f t="shared" si="6"/>
        <v>88119.884076877177</v>
      </c>
      <c r="X61" s="90">
        <f t="shared" si="6"/>
        <v>0</v>
      </c>
      <c r="Y61" s="90">
        <f t="shared" si="6"/>
        <v>0</v>
      </c>
      <c r="Z61" s="90">
        <f t="shared" si="6"/>
        <v>23918.254249438094</v>
      </c>
      <c r="AA61" s="90">
        <f t="shared" si="6"/>
        <v>229479.67174217972</v>
      </c>
      <c r="AB61" s="90">
        <f t="shared" si="6"/>
        <v>449043.43564977462</v>
      </c>
    </row>
    <row r="62" spans="1:29" ht="15.75" outlineLevel="1" thickBot="1" x14ac:dyDescent="0.3">
      <c r="A62" s="25" t="s">
        <v>105</v>
      </c>
      <c r="B62" s="25"/>
      <c r="C62" s="25"/>
      <c r="D62" s="36"/>
      <c r="E62" s="144">
        <f>SUM(E63:E82)</f>
        <v>0</v>
      </c>
      <c r="F62" s="145">
        <f>SUM(F63:F82)</f>
        <v>0</v>
      </c>
      <c r="G62" s="145">
        <f>SUM(G63:G82)</f>
        <v>0</v>
      </c>
      <c r="H62" s="145">
        <f>SUM(H63:H82)</f>
        <v>0</v>
      </c>
      <c r="I62" s="145">
        <f>SUM(I63:I82)</f>
        <v>0</v>
      </c>
      <c r="J62" s="145">
        <f t="shared" ref="J62:AB62" si="7">SUM(J63:J82)</f>
        <v>0</v>
      </c>
      <c r="K62" s="145">
        <f t="shared" si="7"/>
        <v>0</v>
      </c>
      <c r="L62" s="145">
        <f t="shared" si="7"/>
        <v>0</v>
      </c>
      <c r="M62" s="145">
        <f t="shared" si="7"/>
        <v>0</v>
      </c>
      <c r="N62" s="145">
        <f t="shared" si="7"/>
        <v>0</v>
      </c>
      <c r="O62" s="145">
        <f t="shared" si="7"/>
        <v>0</v>
      </c>
      <c r="P62" s="145">
        <f t="shared" si="7"/>
        <v>0</v>
      </c>
      <c r="Q62" s="145">
        <f t="shared" si="7"/>
        <v>0</v>
      </c>
      <c r="R62" s="145">
        <f t="shared" si="7"/>
        <v>0</v>
      </c>
      <c r="S62" s="145">
        <f t="shared" si="7"/>
        <v>0</v>
      </c>
      <c r="T62" s="145">
        <f t="shared" si="7"/>
        <v>0</v>
      </c>
      <c r="U62" s="145">
        <f t="shared" si="7"/>
        <v>0</v>
      </c>
      <c r="V62" s="145">
        <f t="shared" si="7"/>
        <v>0</v>
      </c>
      <c r="W62" s="145">
        <f t="shared" si="7"/>
        <v>0</v>
      </c>
      <c r="X62" s="145">
        <f t="shared" si="7"/>
        <v>0</v>
      </c>
      <c r="Y62" s="145">
        <f t="shared" si="7"/>
        <v>0</v>
      </c>
      <c r="Z62" s="145">
        <f t="shared" si="7"/>
        <v>0</v>
      </c>
      <c r="AA62" s="145">
        <f t="shared" si="7"/>
        <v>0</v>
      </c>
      <c r="AB62" s="145">
        <f t="shared" si="7"/>
        <v>0</v>
      </c>
    </row>
    <row r="63" spans="1:29" outlineLevel="2" x14ac:dyDescent="0.25">
      <c r="A63" s="672" t="s">
        <v>79</v>
      </c>
      <c r="B63" s="673" t="s">
        <v>80</v>
      </c>
      <c r="C63" s="673">
        <v>635009</v>
      </c>
      <c r="D63" s="79" t="s">
        <v>26</v>
      </c>
      <c r="E63" s="76">
        <f t="shared" ref="E63:E82" si="8">SUM(H63:AB63)</f>
        <v>0</v>
      </c>
      <c r="F63" s="138"/>
      <c r="G63" s="138"/>
      <c r="H63" s="138"/>
      <c r="I63" s="139"/>
      <c r="J63" s="316"/>
      <c r="K63" s="316"/>
      <c r="L63" s="316"/>
      <c r="M63" s="316"/>
      <c r="N63" s="316"/>
      <c r="O63" s="316"/>
      <c r="P63" s="316"/>
      <c r="Q63" s="316"/>
      <c r="R63" s="316"/>
      <c r="S63" s="316"/>
      <c r="T63" s="316"/>
      <c r="U63" s="316"/>
      <c r="V63" s="316"/>
      <c r="W63" s="316"/>
      <c r="X63" s="316"/>
      <c r="Y63" s="316"/>
      <c r="Z63" s="316"/>
      <c r="AA63" s="316"/>
      <c r="AB63" s="316"/>
    </row>
    <row r="64" spans="1:29" outlineLevel="2" x14ac:dyDescent="0.25">
      <c r="A64" s="672"/>
      <c r="B64" s="673"/>
      <c r="C64" s="673"/>
      <c r="D64" s="80" t="s">
        <v>27</v>
      </c>
      <c r="E64" s="77">
        <f t="shared" si="8"/>
        <v>0</v>
      </c>
      <c r="F64" s="140"/>
      <c r="G64" s="140"/>
      <c r="H64" s="140"/>
      <c r="I64" s="141"/>
      <c r="J64" s="317"/>
      <c r="K64" s="317"/>
      <c r="L64" s="317"/>
      <c r="M64" s="317"/>
      <c r="N64" s="317"/>
      <c r="O64" s="317"/>
      <c r="P64" s="317"/>
      <c r="Q64" s="317"/>
      <c r="R64" s="317"/>
      <c r="S64" s="317"/>
      <c r="T64" s="317"/>
      <c r="U64" s="317"/>
      <c r="V64" s="317"/>
      <c r="W64" s="317"/>
      <c r="X64" s="317"/>
      <c r="Y64" s="317"/>
      <c r="Z64" s="317"/>
      <c r="AA64" s="317"/>
      <c r="AB64" s="317"/>
    </row>
    <row r="65" spans="1:28" outlineLevel="2" x14ac:dyDescent="0.25">
      <c r="A65" s="672"/>
      <c r="B65" s="673"/>
      <c r="C65" s="673"/>
      <c r="D65" s="80" t="s">
        <v>28</v>
      </c>
      <c r="E65" s="77">
        <f t="shared" si="8"/>
        <v>0</v>
      </c>
      <c r="F65" s="140"/>
      <c r="G65" s="140"/>
      <c r="H65" s="140"/>
      <c r="I65" s="141"/>
      <c r="J65" s="317"/>
      <c r="K65" s="317"/>
      <c r="L65" s="317"/>
      <c r="M65" s="135"/>
      <c r="N65" s="317"/>
      <c r="O65" s="317"/>
      <c r="P65" s="317"/>
      <c r="Q65" s="317"/>
      <c r="R65" s="317"/>
      <c r="S65" s="317"/>
      <c r="T65" s="317"/>
      <c r="U65" s="317"/>
      <c r="V65" s="317"/>
      <c r="W65" s="317"/>
      <c r="X65" s="317"/>
      <c r="Y65" s="317"/>
      <c r="Z65" s="317"/>
      <c r="AA65" s="317"/>
      <c r="AB65" s="317"/>
    </row>
    <row r="66" spans="1:28" outlineLevel="2" x14ac:dyDescent="0.25">
      <c r="A66" s="672"/>
      <c r="B66" s="673"/>
      <c r="C66" s="673"/>
      <c r="D66" s="80" t="s">
        <v>29</v>
      </c>
      <c r="E66" s="77">
        <f t="shared" si="8"/>
        <v>0</v>
      </c>
      <c r="F66" s="140"/>
      <c r="G66" s="140"/>
      <c r="H66" s="140"/>
      <c r="I66" s="141"/>
      <c r="J66" s="317"/>
      <c r="K66" s="317"/>
      <c r="L66" s="317"/>
      <c r="M66" s="135"/>
      <c r="N66" s="317"/>
      <c r="O66" s="317"/>
      <c r="P66" s="317"/>
      <c r="Q66" s="317"/>
      <c r="R66" s="317"/>
      <c r="S66" s="317"/>
      <c r="T66" s="317"/>
      <c r="U66" s="317"/>
      <c r="V66" s="317"/>
      <c r="W66" s="317"/>
      <c r="X66" s="317"/>
      <c r="Y66" s="317"/>
      <c r="Z66" s="317"/>
      <c r="AA66" s="317"/>
      <c r="AB66" s="317"/>
    </row>
    <row r="67" spans="1:28" outlineLevel="2" x14ac:dyDescent="0.25">
      <c r="A67" s="672"/>
      <c r="B67" s="673"/>
      <c r="C67" s="673"/>
      <c r="D67" s="80" t="s">
        <v>30</v>
      </c>
      <c r="E67" s="77">
        <f t="shared" si="8"/>
        <v>0</v>
      </c>
      <c r="F67" s="140"/>
      <c r="G67" s="140"/>
      <c r="H67" s="140"/>
      <c r="I67" s="141"/>
      <c r="J67" s="317"/>
      <c r="K67" s="317"/>
      <c r="L67" s="317"/>
      <c r="M67" s="135"/>
      <c r="N67" s="317"/>
      <c r="O67" s="317"/>
      <c r="P67" s="317"/>
      <c r="Q67" s="317"/>
      <c r="R67" s="317"/>
      <c r="S67" s="317"/>
      <c r="T67" s="317"/>
      <c r="U67" s="317"/>
      <c r="V67" s="317"/>
      <c r="W67" s="317"/>
      <c r="X67" s="317"/>
      <c r="Y67" s="317"/>
      <c r="Z67" s="317"/>
      <c r="AA67" s="317"/>
      <c r="AB67" s="317"/>
    </row>
    <row r="68" spans="1:28" outlineLevel="2" x14ac:dyDescent="0.25">
      <c r="A68" s="672"/>
      <c r="B68" s="673"/>
      <c r="C68" s="673"/>
      <c r="D68" s="80" t="s">
        <v>31</v>
      </c>
      <c r="E68" s="77">
        <f t="shared" si="8"/>
        <v>0</v>
      </c>
      <c r="F68" s="140"/>
      <c r="G68" s="140"/>
      <c r="H68" s="140"/>
      <c r="I68" s="141"/>
      <c r="J68" s="317"/>
      <c r="K68" s="317"/>
      <c r="L68" s="317"/>
      <c r="M68" s="135"/>
      <c r="N68" s="317"/>
      <c r="O68" s="317"/>
      <c r="P68" s="317"/>
      <c r="Q68" s="317"/>
      <c r="R68" s="317"/>
      <c r="S68" s="317"/>
      <c r="T68" s="317"/>
      <c r="U68" s="317"/>
      <c r="V68" s="317"/>
      <c r="W68" s="317"/>
      <c r="X68" s="317"/>
      <c r="Y68" s="317"/>
      <c r="Z68" s="317"/>
      <c r="AA68" s="317"/>
      <c r="AB68" s="317"/>
    </row>
    <row r="69" spans="1:28" outlineLevel="2" x14ac:dyDescent="0.25">
      <c r="A69" s="672"/>
      <c r="B69" s="673"/>
      <c r="C69" s="673"/>
      <c r="D69" s="80" t="s">
        <v>32</v>
      </c>
      <c r="E69" s="77">
        <f t="shared" si="8"/>
        <v>0</v>
      </c>
      <c r="F69" s="140"/>
      <c r="G69" s="140"/>
      <c r="H69" s="140"/>
      <c r="I69" s="141"/>
      <c r="J69" s="317"/>
      <c r="K69" s="317"/>
      <c r="L69" s="317"/>
      <c r="M69" s="135"/>
      <c r="N69" s="317"/>
      <c r="O69" s="317"/>
      <c r="P69" s="317"/>
      <c r="Q69" s="317"/>
      <c r="R69" s="317"/>
      <c r="S69" s="317"/>
      <c r="T69" s="317"/>
      <c r="U69" s="317"/>
      <c r="V69" s="317"/>
      <c r="W69" s="317"/>
      <c r="X69" s="317"/>
      <c r="Y69" s="317"/>
      <c r="Z69" s="317"/>
      <c r="AA69" s="317"/>
      <c r="AB69" s="317"/>
    </row>
    <row r="70" spans="1:28" outlineLevel="2" x14ac:dyDescent="0.25">
      <c r="A70" s="672"/>
      <c r="B70" s="673"/>
      <c r="C70" s="673"/>
      <c r="D70" s="80" t="s">
        <v>33</v>
      </c>
      <c r="E70" s="77">
        <f t="shared" si="8"/>
        <v>0</v>
      </c>
      <c r="F70" s="140"/>
      <c r="G70" s="140"/>
      <c r="H70" s="140"/>
      <c r="I70" s="141"/>
      <c r="J70" s="317"/>
      <c r="K70" s="317"/>
      <c r="L70" s="317"/>
      <c r="M70" s="135"/>
      <c r="N70" s="317"/>
      <c r="O70" s="317"/>
      <c r="P70" s="317"/>
      <c r="Q70" s="317"/>
      <c r="R70" s="317"/>
      <c r="S70" s="317"/>
      <c r="T70" s="317"/>
      <c r="U70" s="317"/>
      <c r="V70" s="317"/>
      <c r="W70" s="317"/>
      <c r="X70" s="317"/>
      <c r="Y70" s="317"/>
      <c r="Z70" s="317"/>
      <c r="AA70" s="317"/>
      <c r="AB70" s="317"/>
    </row>
    <row r="71" spans="1:28" outlineLevel="2" x14ac:dyDescent="0.25">
      <c r="A71" s="672"/>
      <c r="B71" s="673"/>
      <c r="C71" s="673"/>
      <c r="D71" s="80" t="s">
        <v>34</v>
      </c>
      <c r="E71" s="77">
        <f t="shared" si="8"/>
        <v>0</v>
      </c>
      <c r="F71" s="140"/>
      <c r="G71" s="140"/>
      <c r="H71" s="140"/>
      <c r="I71" s="141"/>
      <c r="J71" s="317"/>
      <c r="K71" s="317"/>
      <c r="L71" s="317"/>
      <c r="M71" s="135"/>
      <c r="N71" s="317"/>
      <c r="O71" s="317"/>
      <c r="P71" s="317"/>
      <c r="Q71" s="317"/>
      <c r="R71" s="317"/>
      <c r="S71" s="317"/>
      <c r="T71" s="317"/>
      <c r="U71" s="317"/>
      <c r="V71" s="317"/>
      <c r="W71" s="317"/>
      <c r="X71" s="317"/>
      <c r="Y71" s="317"/>
      <c r="Z71" s="317"/>
      <c r="AA71" s="317"/>
      <c r="AB71" s="317"/>
    </row>
    <row r="72" spans="1:28" ht="15.75" outlineLevel="2" thickBot="1" x14ac:dyDescent="0.3">
      <c r="A72" s="672"/>
      <c r="B72" s="673"/>
      <c r="C72" s="673"/>
      <c r="D72" s="81" t="s">
        <v>35</v>
      </c>
      <c r="E72" s="78">
        <f t="shared" si="8"/>
        <v>0</v>
      </c>
      <c r="F72" s="142"/>
      <c r="G72" s="142"/>
      <c r="H72" s="142"/>
      <c r="I72" s="143"/>
      <c r="J72" s="318"/>
      <c r="K72" s="318"/>
      <c r="L72" s="318"/>
      <c r="M72" s="135"/>
      <c r="N72" s="318"/>
      <c r="O72" s="318"/>
      <c r="P72" s="318"/>
      <c r="Q72" s="318"/>
      <c r="R72" s="318"/>
      <c r="S72" s="318"/>
      <c r="T72" s="318"/>
      <c r="U72" s="318"/>
      <c r="V72" s="318"/>
      <c r="W72" s="318"/>
      <c r="X72" s="318"/>
      <c r="Y72" s="318"/>
      <c r="Z72" s="318"/>
      <c r="AA72" s="318"/>
      <c r="AB72" s="318"/>
    </row>
    <row r="73" spans="1:28" outlineLevel="2" x14ac:dyDescent="0.25">
      <c r="A73" s="672" t="s">
        <v>81</v>
      </c>
      <c r="B73" s="673" t="s">
        <v>72</v>
      </c>
      <c r="C73" s="673">
        <v>718006</v>
      </c>
      <c r="D73" s="79" t="s">
        <v>26</v>
      </c>
      <c r="E73" s="77">
        <f t="shared" si="8"/>
        <v>0</v>
      </c>
      <c r="F73" s="138"/>
      <c r="G73" s="138"/>
      <c r="H73" s="138"/>
      <c r="I73" s="139"/>
      <c r="J73" s="316"/>
      <c r="K73" s="316"/>
      <c r="L73" s="316"/>
      <c r="M73" s="316"/>
      <c r="N73" s="316"/>
      <c r="O73" s="316"/>
      <c r="P73" s="316"/>
      <c r="Q73" s="316"/>
      <c r="R73" s="316"/>
      <c r="S73" s="316"/>
      <c r="T73" s="316"/>
      <c r="U73" s="316"/>
      <c r="V73" s="316"/>
      <c r="W73" s="316"/>
      <c r="X73" s="316"/>
      <c r="Y73" s="316"/>
      <c r="Z73" s="316"/>
      <c r="AA73" s="316"/>
      <c r="AB73" s="316"/>
    </row>
    <row r="74" spans="1:28" outlineLevel="2" x14ac:dyDescent="0.25">
      <c r="A74" s="672"/>
      <c r="B74" s="673"/>
      <c r="C74" s="673"/>
      <c r="D74" s="80" t="s">
        <v>27</v>
      </c>
      <c r="E74" s="77">
        <f t="shared" si="8"/>
        <v>0</v>
      </c>
      <c r="F74" s="140"/>
      <c r="G74" s="140"/>
      <c r="H74" s="140"/>
      <c r="I74" s="141"/>
      <c r="J74" s="317"/>
      <c r="K74" s="317"/>
      <c r="L74" s="317"/>
      <c r="M74" s="317"/>
      <c r="N74" s="317"/>
      <c r="O74" s="317"/>
      <c r="P74" s="317"/>
      <c r="Q74" s="317"/>
      <c r="R74" s="317"/>
      <c r="S74" s="317"/>
      <c r="T74" s="317"/>
      <c r="U74" s="317"/>
      <c r="V74" s="317"/>
      <c r="W74" s="317"/>
      <c r="X74" s="317"/>
      <c r="Y74" s="317"/>
      <c r="Z74" s="317"/>
      <c r="AA74" s="317"/>
      <c r="AB74" s="317"/>
    </row>
    <row r="75" spans="1:28" outlineLevel="2" x14ac:dyDescent="0.25">
      <c r="A75" s="672"/>
      <c r="B75" s="673"/>
      <c r="C75" s="673"/>
      <c r="D75" s="80" t="s">
        <v>28</v>
      </c>
      <c r="E75" s="77">
        <f t="shared" si="8"/>
        <v>0</v>
      </c>
      <c r="F75" s="140"/>
      <c r="G75" s="140"/>
      <c r="H75" s="140"/>
      <c r="I75" s="141"/>
      <c r="J75" s="317"/>
      <c r="K75" s="317"/>
      <c r="L75" s="317"/>
      <c r="M75" s="317"/>
      <c r="N75" s="317"/>
      <c r="O75" s="317"/>
      <c r="P75" s="317"/>
      <c r="Q75" s="317"/>
      <c r="R75" s="317"/>
      <c r="S75" s="317"/>
      <c r="T75" s="317"/>
      <c r="U75" s="317"/>
      <c r="V75" s="317"/>
      <c r="W75" s="317"/>
      <c r="X75" s="317"/>
      <c r="Y75" s="317"/>
      <c r="Z75" s="317"/>
      <c r="AA75" s="317"/>
      <c r="AB75" s="317"/>
    </row>
    <row r="76" spans="1:28" outlineLevel="2" x14ac:dyDescent="0.25">
      <c r="A76" s="672"/>
      <c r="B76" s="673"/>
      <c r="C76" s="673"/>
      <c r="D76" s="80" t="s">
        <v>29</v>
      </c>
      <c r="E76" s="77">
        <f t="shared" si="8"/>
        <v>0</v>
      </c>
      <c r="F76" s="140"/>
      <c r="G76" s="140"/>
      <c r="H76" s="140"/>
      <c r="I76" s="141"/>
      <c r="J76" s="317"/>
      <c r="K76" s="317"/>
      <c r="L76" s="317"/>
      <c r="M76" s="317"/>
      <c r="N76" s="317"/>
      <c r="O76" s="317"/>
      <c r="P76" s="317"/>
      <c r="Q76" s="317"/>
      <c r="R76" s="317"/>
      <c r="S76" s="317"/>
      <c r="T76" s="317"/>
      <c r="U76" s="317"/>
      <c r="V76" s="317"/>
      <c r="W76" s="317"/>
      <c r="X76" s="317"/>
      <c r="Y76" s="317"/>
      <c r="Z76" s="317"/>
      <c r="AA76" s="317"/>
      <c r="AB76" s="317"/>
    </row>
    <row r="77" spans="1:28" outlineLevel="2" x14ac:dyDescent="0.25">
      <c r="A77" s="672"/>
      <c r="B77" s="673"/>
      <c r="C77" s="673"/>
      <c r="D77" s="80" t="s">
        <v>30</v>
      </c>
      <c r="E77" s="77">
        <f t="shared" si="8"/>
        <v>0</v>
      </c>
      <c r="F77" s="140"/>
      <c r="G77" s="140"/>
      <c r="H77" s="140"/>
      <c r="I77" s="141"/>
      <c r="J77" s="317"/>
      <c r="K77" s="317"/>
      <c r="L77" s="317"/>
      <c r="M77" s="317"/>
      <c r="N77" s="317"/>
      <c r="O77" s="317"/>
      <c r="P77" s="317"/>
      <c r="Q77" s="317"/>
      <c r="R77" s="317"/>
      <c r="S77" s="317"/>
      <c r="T77" s="317"/>
      <c r="U77" s="317"/>
      <c r="V77" s="317"/>
      <c r="W77" s="317"/>
      <c r="X77" s="317"/>
      <c r="Y77" s="317"/>
      <c r="Z77" s="317"/>
      <c r="AA77" s="317"/>
      <c r="AB77" s="317"/>
    </row>
    <row r="78" spans="1:28" outlineLevel="2" x14ac:dyDescent="0.25">
      <c r="A78" s="672"/>
      <c r="B78" s="673"/>
      <c r="C78" s="673"/>
      <c r="D78" s="80" t="s">
        <v>31</v>
      </c>
      <c r="E78" s="77">
        <f t="shared" si="8"/>
        <v>0</v>
      </c>
      <c r="F78" s="140"/>
      <c r="G78" s="140"/>
      <c r="H78" s="140"/>
      <c r="I78" s="141"/>
      <c r="J78" s="317"/>
      <c r="K78" s="317"/>
      <c r="L78" s="317"/>
      <c r="M78" s="317"/>
      <c r="N78" s="317"/>
      <c r="O78" s="317"/>
      <c r="P78" s="317"/>
      <c r="Q78" s="317"/>
      <c r="R78" s="317"/>
      <c r="S78" s="317"/>
      <c r="T78" s="317"/>
      <c r="U78" s="317"/>
      <c r="V78" s="317"/>
      <c r="W78" s="317"/>
      <c r="X78" s="317"/>
      <c r="Y78" s="317"/>
      <c r="Z78" s="317"/>
      <c r="AA78" s="317"/>
      <c r="AB78" s="317"/>
    </row>
    <row r="79" spans="1:28" outlineLevel="2" x14ac:dyDescent="0.25">
      <c r="A79" s="672"/>
      <c r="B79" s="673"/>
      <c r="C79" s="673"/>
      <c r="D79" s="80" t="s">
        <v>32</v>
      </c>
      <c r="E79" s="77">
        <f t="shared" si="8"/>
        <v>0</v>
      </c>
      <c r="F79" s="140"/>
      <c r="G79" s="140"/>
      <c r="H79" s="140"/>
      <c r="I79" s="141"/>
      <c r="J79" s="317"/>
      <c r="K79" s="317"/>
      <c r="L79" s="317"/>
      <c r="M79" s="317"/>
      <c r="N79" s="317"/>
      <c r="O79" s="317"/>
      <c r="P79" s="317"/>
      <c r="Q79" s="317"/>
      <c r="R79" s="317"/>
      <c r="S79" s="317"/>
      <c r="T79" s="317"/>
      <c r="U79" s="317"/>
      <c r="V79" s="317"/>
      <c r="W79" s="317"/>
      <c r="X79" s="317"/>
      <c r="Y79" s="317"/>
      <c r="Z79" s="317"/>
      <c r="AA79" s="317"/>
      <c r="AB79" s="317"/>
    </row>
    <row r="80" spans="1:28" outlineLevel="2" x14ac:dyDescent="0.25">
      <c r="A80" s="672"/>
      <c r="B80" s="673"/>
      <c r="C80" s="673"/>
      <c r="D80" s="80" t="s">
        <v>33</v>
      </c>
      <c r="E80" s="77">
        <f t="shared" si="8"/>
        <v>0</v>
      </c>
      <c r="F80" s="140"/>
      <c r="G80" s="140"/>
      <c r="H80" s="140"/>
      <c r="I80" s="141"/>
      <c r="J80" s="317"/>
      <c r="K80" s="317"/>
      <c r="L80" s="317"/>
      <c r="M80" s="317"/>
      <c r="N80" s="317"/>
      <c r="O80" s="317"/>
      <c r="P80" s="317"/>
      <c r="Q80" s="317"/>
      <c r="R80" s="317"/>
      <c r="S80" s="317"/>
      <c r="T80" s="317"/>
      <c r="U80" s="317"/>
      <c r="V80" s="317"/>
      <c r="W80" s="317"/>
      <c r="X80" s="317"/>
      <c r="Y80" s="317"/>
      <c r="Z80" s="317"/>
      <c r="AA80" s="317"/>
      <c r="AB80" s="317"/>
    </row>
    <row r="81" spans="1:28" outlineLevel="2" x14ac:dyDescent="0.25">
      <c r="A81" s="672"/>
      <c r="B81" s="673"/>
      <c r="C81" s="673"/>
      <c r="D81" s="80" t="s">
        <v>34</v>
      </c>
      <c r="E81" s="77">
        <f t="shared" si="8"/>
        <v>0</v>
      </c>
      <c r="F81" s="140"/>
      <c r="G81" s="140"/>
      <c r="H81" s="140"/>
      <c r="I81" s="141"/>
      <c r="J81" s="317"/>
      <c r="K81" s="317"/>
      <c r="L81" s="317"/>
      <c r="M81" s="317"/>
      <c r="N81" s="317"/>
      <c r="O81" s="317"/>
      <c r="P81" s="317"/>
      <c r="Q81" s="317"/>
      <c r="R81" s="317"/>
      <c r="S81" s="317"/>
      <c r="T81" s="317"/>
      <c r="U81" s="317"/>
      <c r="V81" s="317"/>
      <c r="W81" s="317"/>
      <c r="X81" s="317"/>
      <c r="Y81" s="317"/>
      <c r="Z81" s="317"/>
      <c r="AA81" s="317"/>
      <c r="AB81" s="317"/>
    </row>
    <row r="82" spans="1:28" ht="15.75" outlineLevel="2" thickBot="1" x14ac:dyDescent="0.3">
      <c r="A82" s="672"/>
      <c r="B82" s="673"/>
      <c r="C82" s="673"/>
      <c r="D82" s="81" t="s">
        <v>35</v>
      </c>
      <c r="E82" s="78">
        <f t="shared" si="8"/>
        <v>0</v>
      </c>
      <c r="F82" s="142"/>
      <c r="G82" s="142"/>
      <c r="H82" s="142"/>
      <c r="I82" s="143"/>
      <c r="J82" s="318"/>
      <c r="K82" s="318"/>
      <c r="L82" s="318"/>
      <c r="M82" s="318"/>
      <c r="N82" s="318"/>
      <c r="O82" s="318"/>
      <c r="P82" s="318"/>
      <c r="Q82" s="318"/>
      <c r="R82" s="318"/>
      <c r="S82" s="318"/>
      <c r="T82" s="318"/>
      <c r="U82" s="318"/>
      <c r="V82" s="318"/>
      <c r="W82" s="318"/>
      <c r="X82" s="318"/>
      <c r="Y82" s="318"/>
      <c r="Z82" s="318"/>
      <c r="AA82" s="318"/>
      <c r="AB82" s="318"/>
    </row>
    <row r="83" spans="1:28" ht="15.75" outlineLevel="1" thickBot="1" x14ac:dyDescent="0.3">
      <c r="A83" s="25" t="s">
        <v>106</v>
      </c>
      <c r="B83" s="25"/>
      <c r="C83" s="25"/>
      <c r="D83" s="36"/>
      <c r="E83" s="146">
        <f>SUM(E84:E133)</f>
        <v>8104542.4732799986</v>
      </c>
      <c r="F83" s="147">
        <f>SUM(F84:F133)</f>
        <v>2400000</v>
      </c>
      <c r="G83" s="147">
        <f>SUM(G84:G133)</f>
        <v>2880000</v>
      </c>
      <c r="H83" s="147">
        <f>SUM(H84:H133)</f>
        <v>204802.87636607254</v>
      </c>
      <c r="I83" s="147">
        <f>SUM(I84:I133)</f>
        <v>90573.038358870865</v>
      </c>
      <c r="J83" s="147">
        <f t="shared" ref="J83:AB83" si="9">SUM(J84:J133)</f>
        <v>0</v>
      </c>
      <c r="K83" s="147">
        <f t="shared" si="9"/>
        <v>229198.85013358312</v>
      </c>
      <c r="L83" s="147">
        <f t="shared" si="9"/>
        <v>242710.56569203761</v>
      </c>
      <c r="M83" s="147">
        <f t="shared" si="9"/>
        <v>205377.43092159208</v>
      </c>
      <c r="N83" s="147">
        <f t="shared" si="9"/>
        <v>252016.41279070565</v>
      </c>
      <c r="O83" s="147">
        <f t="shared" si="9"/>
        <v>304846.38138727151</v>
      </c>
      <c r="P83" s="147">
        <f t="shared" si="9"/>
        <v>300592.09540876147</v>
      </c>
      <c r="Q83" s="147">
        <f t="shared" si="9"/>
        <v>203863.57650283555</v>
      </c>
      <c r="R83" s="147">
        <f t="shared" si="9"/>
        <v>0</v>
      </c>
      <c r="S83" s="147">
        <f t="shared" si="9"/>
        <v>0</v>
      </c>
      <c r="T83" s="147">
        <f t="shared" si="9"/>
        <v>0</v>
      </c>
      <c r="U83" s="147">
        <f t="shared" si="9"/>
        <v>0</v>
      </c>
      <c r="V83" s="147">
        <f t="shared" si="9"/>
        <v>0</v>
      </c>
      <c r="W83" s="147">
        <f t="shared" si="9"/>
        <v>88119.884076877177</v>
      </c>
      <c r="X83" s="147">
        <f t="shared" si="9"/>
        <v>0</v>
      </c>
      <c r="Y83" s="147">
        <f t="shared" si="9"/>
        <v>0</v>
      </c>
      <c r="Z83" s="147">
        <f t="shared" si="9"/>
        <v>23918.254249438094</v>
      </c>
      <c r="AA83" s="147">
        <f t="shared" si="9"/>
        <v>229479.67174217972</v>
      </c>
      <c r="AB83" s="147">
        <f t="shared" si="9"/>
        <v>449043.43564977462</v>
      </c>
    </row>
    <row r="84" spans="1:28" outlineLevel="2" x14ac:dyDescent="0.25">
      <c r="A84" s="672" t="s">
        <v>82</v>
      </c>
      <c r="B84" s="673" t="s">
        <v>80</v>
      </c>
      <c r="C84" s="673">
        <v>635009</v>
      </c>
      <c r="D84" s="79" t="s">
        <v>26</v>
      </c>
      <c r="E84" s="77">
        <f>SUM(F84:AB84)</f>
        <v>528000</v>
      </c>
      <c r="F84" s="132">
        <v>240000</v>
      </c>
      <c r="G84" s="133">
        <f>240000*1.2</f>
        <v>288000</v>
      </c>
      <c r="H84" s="133"/>
      <c r="I84" s="133"/>
      <c r="J84" s="133"/>
      <c r="K84" s="133"/>
      <c r="L84" s="133"/>
      <c r="M84" s="133"/>
      <c r="N84" s="133"/>
      <c r="O84" s="133"/>
      <c r="P84" s="133"/>
      <c r="Q84" s="133"/>
      <c r="R84" s="133"/>
      <c r="S84" s="133"/>
      <c r="T84" s="133"/>
      <c r="U84" s="133"/>
      <c r="V84" s="133"/>
      <c r="W84" s="133"/>
      <c r="X84" s="319"/>
      <c r="Y84" s="319"/>
      <c r="Z84" s="319"/>
      <c r="AA84" s="319"/>
      <c r="AB84" s="319"/>
    </row>
    <row r="85" spans="1:28" outlineLevel="2" x14ac:dyDescent="0.25">
      <c r="A85" s="672"/>
      <c r="B85" s="673"/>
      <c r="C85" s="673"/>
      <c r="D85" s="80" t="s">
        <v>27</v>
      </c>
      <c r="E85" s="77">
        <f t="shared" ref="E85:E93" si="10">SUM(F85:AB85)</f>
        <v>528000</v>
      </c>
      <c r="F85" s="134">
        <v>240000</v>
      </c>
      <c r="G85" s="134">
        <f>240000*1.2</f>
        <v>288000</v>
      </c>
      <c r="H85" s="134"/>
      <c r="I85" s="135"/>
      <c r="J85" s="320"/>
      <c r="K85" s="320"/>
      <c r="L85" s="320"/>
      <c r="M85" s="320"/>
      <c r="N85" s="320"/>
      <c r="O85" s="320"/>
      <c r="P85" s="320"/>
      <c r="Q85" s="320"/>
      <c r="R85" s="320"/>
      <c r="S85" s="320"/>
      <c r="T85" s="320"/>
      <c r="U85" s="320"/>
      <c r="V85" s="320"/>
      <c r="W85" s="320"/>
      <c r="X85" s="320"/>
      <c r="Y85" s="320"/>
      <c r="Z85" s="320"/>
      <c r="AA85" s="320"/>
      <c r="AB85" s="320"/>
    </row>
    <row r="86" spans="1:28" outlineLevel="2" x14ac:dyDescent="0.25">
      <c r="A86" s="672"/>
      <c r="B86" s="673"/>
      <c r="C86" s="673"/>
      <c r="D86" s="80" t="s">
        <v>28</v>
      </c>
      <c r="E86" s="77">
        <f t="shared" si="10"/>
        <v>881067.80915999995</v>
      </c>
      <c r="F86" s="134">
        <v>240000</v>
      </c>
      <c r="G86" s="135">
        <f t="shared" ref="G86:G93" si="11">240000*1.2</f>
        <v>288000</v>
      </c>
      <c r="H86" s="135">
        <f>H$3*Faktory!$D$14</f>
        <v>25600.359545759067</v>
      </c>
      <c r="I86" s="135">
        <f>I$3*Faktory!$D$14</f>
        <v>11321.629794858856</v>
      </c>
      <c r="J86" s="135">
        <f>J$3*Faktory!$D$14</f>
        <v>0</v>
      </c>
      <c r="K86" s="135">
        <f>K$3*Faktory!$D$14</f>
        <v>28649.856266697887</v>
      </c>
      <c r="L86" s="135">
        <f>L$3*Faktory!$D$14</f>
        <v>30338.820711504704</v>
      </c>
      <c r="M86" s="135">
        <f>M$3*Faktory!$D$14</f>
        <v>25672.178865199014</v>
      </c>
      <c r="N86" s="135">
        <f>N$3*Faktory!$D$14</f>
        <v>31502.051598838203</v>
      </c>
      <c r="O86" s="135">
        <f>O$3*Faktory!$D$14</f>
        <v>38105.797673408939</v>
      </c>
      <c r="P86" s="135">
        <f>P$3*Faktory!$D$14</f>
        <v>37574.011926095183</v>
      </c>
      <c r="Q86" s="135">
        <f>Q$3*Faktory!$D$14</f>
        <v>25482.94706285444</v>
      </c>
      <c r="R86" s="135">
        <f>R$3*Faktory!$D$14</f>
        <v>0</v>
      </c>
      <c r="S86" s="135"/>
      <c r="T86" s="135">
        <f>T$3*Faktory!$D$14</f>
        <v>0</v>
      </c>
      <c r="U86" s="135">
        <f>U$3*Faktory!$D$14</f>
        <v>0</v>
      </c>
      <c r="V86" s="135">
        <f>V$3*Faktory!$D$14</f>
        <v>0</v>
      </c>
      <c r="W86" s="135">
        <f>W$3*Faktory!$D$14</f>
        <v>11014.985509609649</v>
      </c>
      <c r="X86" s="135">
        <f>X$3*Faktory!$D$14</f>
        <v>0</v>
      </c>
      <c r="Y86" s="135">
        <f>Y$3*Faktory!$D$14</f>
        <v>0</v>
      </c>
      <c r="Z86" s="135">
        <f>Z$3*Faktory!$D$14</f>
        <v>2989.7817811797622</v>
      </c>
      <c r="AA86" s="135">
        <f>AA$3*Faktory!$D$14</f>
        <v>28684.958967772469</v>
      </c>
      <c r="AB86" s="135">
        <f>AB$3*Faktory!$D$14</f>
        <v>56130.429456221835</v>
      </c>
    </row>
    <row r="87" spans="1:28" outlineLevel="2" x14ac:dyDescent="0.25">
      <c r="A87" s="672"/>
      <c r="B87" s="673"/>
      <c r="C87" s="673"/>
      <c r="D87" s="80" t="s">
        <v>29</v>
      </c>
      <c r="E87" s="77">
        <f t="shared" si="10"/>
        <v>881067.80915999995</v>
      </c>
      <c r="F87" s="134">
        <v>240000</v>
      </c>
      <c r="G87" s="135">
        <f t="shared" si="11"/>
        <v>288000</v>
      </c>
      <c r="H87" s="135">
        <f>H$3*Faktory!$D$14</f>
        <v>25600.359545759067</v>
      </c>
      <c r="I87" s="135">
        <f>I$3*Faktory!$D$14</f>
        <v>11321.629794858856</v>
      </c>
      <c r="J87" s="135">
        <f>J$3*Faktory!$D$14</f>
        <v>0</v>
      </c>
      <c r="K87" s="135">
        <f>K$3*Faktory!$D$14</f>
        <v>28649.856266697887</v>
      </c>
      <c r="L87" s="135">
        <f>L$3*Faktory!$D$14</f>
        <v>30338.820711504704</v>
      </c>
      <c r="M87" s="135">
        <f>M$3*Faktory!$D$14</f>
        <v>25672.178865199014</v>
      </c>
      <c r="N87" s="135">
        <f>N$3*Faktory!$D$14</f>
        <v>31502.051598838203</v>
      </c>
      <c r="O87" s="135">
        <f>O$3*Faktory!$D$14</f>
        <v>38105.797673408939</v>
      </c>
      <c r="P87" s="135">
        <f>P$3*Faktory!$D$14</f>
        <v>37574.011926095183</v>
      </c>
      <c r="Q87" s="135">
        <f>Q$3*Faktory!$D$14</f>
        <v>25482.94706285444</v>
      </c>
      <c r="R87" s="135">
        <f>R$3*Faktory!$D$14</f>
        <v>0</v>
      </c>
      <c r="S87" s="135"/>
      <c r="T87" s="135">
        <f>T$3*Faktory!$D$14</f>
        <v>0</v>
      </c>
      <c r="U87" s="135">
        <f>U$3*Faktory!$D$14</f>
        <v>0</v>
      </c>
      <c r="V87" s="135">
        <f>V$3*Faktory!$D$14</f>
        <v>0</v>
      </c>
      <c r="W87" s="135">
        <f>W$3*Faktory!$D$14</f>
        <v>11014.985509609649</v>
      </c>
      <c r="X87" s="135">
        <f>X$3*Faktory!$D$14</f>
        <v>0</v>
      </c>
      <c r="Y87" s="135">
        <f>Y$3*Faktory!$D$14</f>
        <v>0</v>
      </c>
      <c r="Z87" s="135">
        <f>Z$3*Faktory!$D$14</f>
        <v>2989.7817811797622</v>
      </c>
      <c r="AA87" s="135">
        <f>AA$3*Faktory!$D$14</f>
        <v>28684.958967772469</v>
      </c>
      <c r="AB87" s="135">
        <f>AB$3*Faktory!$D$14</f>
        <v>56130.429456221835</v>
      </c>
    </row>
    <row r="88" spans="1:28" outlineLevel="2" x14ac:dyDescent="0.25">
      <c r="A88" s="672"/>
      <c r="B88" s="673"/>
      <c r="C88" s="673"/>
      <c r="D88" s="80" t="s">
        <v>30</v>
      </c>
      <c r="E88" s="77">
        <f t="shared" si="10"/>
        <v>881067.80915999995</v>
      </c>
      <c r="F88" s="134">
        <v>240000</v>
      </c>
      <c r="G88" s="135">
        <f t="shared" si="11"/>
        <v>288000</v>
      </c>
      <c r="H88" s="135">
        <f>H$3*Faktory!$D$14</f>
        <v>25600.359545759067</v>
      </c>
      <c r="I88" s="135">
        <f>I$3*Faktory!$D$14</f>
        <v>11321.629794858856</v>
      </c>
      <c r="J88" s="135">
        <f>J$3*Faktory!$D$14</f>
        <v>0</v>
      </c>
      <c r="K88" s="135">
        <f>K$3*Faktory!$D$14</f>
        <v>28649.856266697887</v>
      </c>
      <c r="L88" s="135">
        <f>L$3*Faktory!$D$14</f>
        <v>30338.820711504704</v>
      </c>
      <c r="M88" s="135">
        <f>M$3*Faktory!$D$14</f>
        <v>25672.178865199014</v>
      </c>
      <c r="N88" s="135">
        <f>N$3*Faktory!$D$14</f>
        <v>31502.051598838203</v>
      </c>
      <c r="O88" s="135">
        <f>O$3*Faktory!$D$14</f>
        <v>38105.797673408939</v>
      </c>
      <c r="P88" s="135">
        <f>P$3*Faktory!$D$14</f>
        <v>37574.011926095183</v>
      </c>
      <c r="Q88" s="135">
        <f>Q$3*Faktory!$D$14</f>
        <v>25482.94706285444</v>
      </c>
      <c r="R88" s="135">
        <f>R$3*Faktory!$D$14</f>
        <v>0</v>
      </c>
      <c r="S88" s="135"/>
      <c r="T88" s="135">
        <f>T$3*Faktory!$D$14</f>
        <v>0</v>
      </c>
      <c r="U88" s="135">
        <f>U$3*Faktory!$D$14</f>
        <v>0</v>
      </c>
      <c r="V88" s="135">
        <f>V$3*Faktory!$D$14</f>
        <v>0</v>
      </c>
      <c r="W88" s="135">
        <f>W$3*Faktory!$D$14</f>
        <v>11014.985509609649</v>
      </c>
      <c r="X88" s="135">
        <f>X$3*Faktory!$D$14</f>
        <v>0</v>
      </c>
      <c r="Y88" s="135">
        <f>Y$3*Faktory!$D$14</f>
        <v>0</v>
      </c>
      <c r="Z88" s="135">
        <f>Z$3*Faktory!$D$14</f>
        <v>2989.7817811797622</v>
      </c>
      <c r="AA88" s="135">
        <f>AA$3*Faktory!$D$14</f>
        <v>28684.958967772469</v>
      </c>
      <c r="AB88" s="135">
        <f>AB$3*Faktory!$D$14</f>
        <v>56130.429456221835</v>
      </c>
    </row>
    <row r="89" spans="1:28" outlineLevel="2" x14ac:dyDescent="0.25">
      <c r="A89" s="672"/>
      <c r="B89" s="673"/>
      <c r="C89" s="673"/>
      <c r="D89" s="80" t="s">
        <v>31</v>
      </c>
      <c r="E89" s="77">
        <f t="shared" si="10"/>
        <v>881067.80915999995</v>
      </c>
      <c r="F89" s="134">
        <v>240000</v>
      </c>
      <c r="G89" s="135">
        <f t="shared" si="11"/>
        <v>288000</v>
      </c>
      <c r="H89" s="135">
        <f>H$3*Faktory!$D$14</f>
        <v>25600.359545759067</v>
      </c>
      <c r="I89" s="135">
        <f>I$3*Faktory!$D$14</f>
        <v>11321.629794858856</v>
      </c>
      <c r="J89" s="135">
        <f>J$3*Faktory!$D$14</f>
        <v>0</v>
      </c>
      <c r="K89" s="135">
        <f>K$3*Faktory!$D$14</f>
        <v>28649.856266697887</v>
      </c>
      <c r="L89" s="135">
        <f>L$3*Faktory!$D$14</f>
        <v>30338.820711504704</v>
      </c>
      <c r="M89" s="135">
        <f>M$3*Faktory!$D$14</f>
        <v>25672.178865199014</v>
      </c>
      <c r="N89" s="135">
        <f>N$3*Faktory!$D$14</f>
        <v>31502.051598838203</v>
      </c>
      <c r="O89" s="135">
        <f>O$3*Faktory!$D$14</f>
        <v>38105.797673408939</v>
      </c>
      <c r="P89" s="135">
        <f>P$3*Faktory!$D$14</f>
        <v>37574.011926095183</v>
      </c>
      <c r="Q89" s="135">
        <f>Q$3*Faktory!$D$14</f>
        <v>25482.94706285444</v>
      </c>
      <c r="R89" s="135">
        <f>R$3*Faktory!$D$14</f>
        <v>0</v>
      </c>
      <c r="S89" s="135"/>
      <c r="T89" s="135">
        <f>T$3*Faktory!$D$14</f>
        <v>0</v>
      </c>
      <c r="U89" s="135">
        <f>U$3*Faktory!$D$14</f>
        <v>0</v>
      </c>
      <c r="V89" s="135">
        <f>V$3*Faktory!$D$14</f>
        <v>0</v>
      </c>
      <c r="W89" s="135">
        <f>W$3*Faktory!$D$14</f>
        <v>11014.985509609649</v>
      </c>
      <c r="X89" s="135">
        <f>X$3*Faktory!$D$14</f>
        <v>0</v>
      </c>
      <c r="Y89" s="135">
        <f>Y$3*Faktory!$D$14</f>
        <v>0</v>
      </c>
      <c r="Z89" s="135">
        <f>Z$3*Faktory!$D$14</f>
        <v>2989.7817811797622</v>
      </c>
      <c r="AA89" s="135">
        <f>AA$3*Faktory!$D$14</f>
        <v>28684.958967772469</v>
      </c>
      <c r="AB89" s="135">
        <f>AB$3*Faktory!$D$14</f>
        <v>56130.429456221835</v>
      </c>
    </row>
    <row r="90" spans="1:28" outlineLevel="2" x14ac:dyDescent="0.25">
      <c r="A90" s="672"/>
      <c r="B90" s="673"/>
      <c r="C90" s="673"/>
      <c r="D90" s="80" t="s">
        <v>32</v>
      </c>
      <c r="E90" s="77">
        <f t="shared" si="10"/>
        <v>881067.80915999995</v>
      </c>
      <c r="F90" s="134">
        <v>240000</v>
      </c>
      <c r="G90" s="135">
        <f t="shared" si="11"/>
        <v>288000</v>
      </c>
      <c r="H90" s="135">
        <f>H$3*Faktory!$D$14</f>
        <v>25600.359545759067</v>
      </c>
      <c r="I90" s="135">
        <f>I$3*Faktory!$D$14</f>
        <v>11321.629794858856</v>
      </c>
      <c r="J90" s="135">
        <f>J$3*Faktory!$D$14</f>
        <v>0</v>
      </c>
      <c r="K90" s="135">
        <f>K$3*Faktory!$D$14</f>
        <v>28649.856266697887</v>
      </c>
      <c r="L90" s="135">
        <f>L$3*Faktory!$D$14</f>
        <v>30338.820711504704</v>
      </c>
      <c r="M90" s="135">
        <f>M$3*Faktory!$D$14</f>
        <v>25672.178865199014</v>
      </c>
      <c r="N90" s="135">
        <f>N$3*Faktory!$D$14</f>
        <v>31502.051598838203</v>
      </c>
      <c r="O90" s="135">
        <f>O$3*Faktory!$D$14</f>
        <v>38105.797673408939</v>
      </c>
      <c r="P90" s="135">
        <f>P$3*Faktory!$D$14</f>
        <v>37574.011926095183</v>
      </c>
      <c r="Q90" s="135">
        <f>Q$3*Faktory!$D$14</f>
        <v>25482.94706285444</v>
      </c>
      <c r="R90" s="135">
        <f>R$3*Faktory!$D$14</f>
        <v>0</v>
      </c>
      <c r="S90" s="135"/>
      <c r="T90" s="135">
        <f>T$3*Faktory!$D$14</f>
        <v>0</v>
      </c>
      <c r="U90" s="135">
        <f>U$3*Faktory!$D$14</f>
        <v>0</v>
      </c>
      <c r="V90" s="135">
        <f>V$3*Faktory!$D$14</f>
        <v>0</v>
      </c>
      <c r="W90" s="135">
        <f>W$3*Faktory!$D$14</f>
        <v>11014.985509609649</v>
      </c>
      <c r="X90" s="135">
        <f>X$3*Faktory!$D$14</f>
        <v>0</v>
      </c>
      <c r="Y90" s="135">
        <f>Y$3*Faktory!$D$14</f>
        <v>0</v>
      </c>
      <c r="Z90" s="135">
        <f>Z$3*Faktory!$D$14</f>
        <v>2989.7817811797622</v>
      </c>
      <c r="AA90" s="135">
        <f>AA$3*Faktory!$D$14</f>
        <v>28684.958967772469</v>
      </c>
      <c r="AB90" s="135">
        <f>AB$3*Faktory!$D$14</f>
        <v>56130.429456221835</v>
      </c>
    </row>
    <row r="91" spans="1:28" outlineLevel="2" x14ac:dyDescent="0.25">
      <c r="A91" s="672"/>
      <c r="B91" s="673"/>
      <c r="C91" s="673"/>
      <c r="D91" s="80" t="s">
        <v>33</v>
      </c>
      <c r="E91" s="77">
        <f t="shared" si="10"/>
        <v>881067.80915999995</v>
      </c>
      <c r="F91" s="134">
        <v>240000</v>
      </c>
      <c r="G91" s="135">
        <f t="shared" si="11"/>
        <v>288000</v>
      </c>
      <c r="H91" s="135">
        <f>H$3*Faktory!$D$14</f>
        <v>25600.359545759067</v>
      </c>
      <c r="I91" s="135">
        <f>I$3*Faktory!$D$14</f>
        <v>11321.629794858856</v>
      </c>
      <c r="J91" s="135">
        <f>J$3*Faktory!$D$14</f>
        <v>0</v>
      </c>
      <c r="K91" s="135">
        <f>K$3*Faktory!$D$14</f>
        <v>28649.856266697887</v>
      </c>
      <c r="L91" s="135">
        <f>L$3*Faktory!$D$14</f>
        <v>30338.820711504704</v>
      </c>
      <c r="M91" s="135">
        <f>M$3*Faktory!$D$14</f>
        <v>25672.178865199014</v>
      </c>
      <c r="N91" s="135">
        <f>N$3*Faktory!$D$14</f>
        <v>31502.051598838203</v>
      </c>
      <c r="O91" s="135">
        <f>O$3*Faktory!$D$14</f>
        <v>38105.797673408939</v>
      </c>
      <c r="P91" s="135">
        <f>P$3*Faktory!$D$14</f>
        <v>37574.011926095183</v>
      </c>
      <c r="Q91" s="135">
        <f>Q$3*Faktory!$D$14</f>
        <v>25482.94706285444</v>
      </c>
      <c r="R91" s="135">
        <f>R$3*Faktory!$D$14</f>
        <v>0</v>
      </c>
      <c r="S91" s="135"/>
      <c r="T91" s="135">
        <f>T$3*Faktory!$D$14</f>
        <v>0</v>
      </c>
      <c r="U91" s="135">
        <f>U$3*Faktory!$D$14</f>
        <v>0</v>
      </c>
      <c r="V91" s="135">
        <f>V$3*Faktory!$D$14</f>
        <v>0</v>
      </c>
      <c r="W91" s="135">
        <f>W$3*Faktory!$D$14</f>
        <v>11014.985509609649</v>
      </c>
      <c r="X91" s="135">
        <f>X$3*Faktory!$D$14</f>
        <v>0</v>
      </c>
      <c r="Y91" s="135">
        <f>Y$3*Faktory!$D$14</f>
        <v>0</v>
      </c>
      <c r="Z91" s="135">
        <f>Z$3*Faktory!$D$14</f>
        <v>2989.7817811797622</v>
      </c>
      <c r="AA91" s="135">
        <f>AA$3*Faktory!$D$14</f>
        <v>28684.958967772469</v>
      </c>
      <c r="AB91" s="135">
        <f>AB$3*Faktory!$D$14</f>
        <v>56130.429456221835</v>
      </c>
    </row>
    <row r="92" spans="1:28" outlineLevel="2" x14ac:dyDescent="0.25">
      <c r="A92" s="672"/>
      <c r="B92" s="673"/>
      <c r="C92" s="673"/>
      <c r="D92" s="80" t="s">
        <v>34</v>
      </c>
      <c r="E92" s="77">
        <f t="shared" si="10"/>
        <v>881067.80915999995</v>
      </c>
      <c r="F92" s="134">
        <v>240000</v>
      </c>
      <c r="G92" s="135">
        <f t="shared" si="11"/>
        <v>288000</v>
      </c>
      <c r="H92" s="135">
        <f>H$3*Faktory!$D$14</f>
        <v>25600.359545759067</v>
      </c>
      <c r="I92" s="135">
        <f>I$3*Faktory!$D$14</f>
        <v>11321.629794858856</v>
      </c>
      <c r="J92" s="135">
        <f>J$3*Faktory!$D$14</f>
        <v>0</v>
      </c>
      <c r="K92" s="135">
        <f>K$3*Faktory!$D$14</f>
        <v>28649.856266697887</v>
      </c>
      <c r="L92" s="135">
        <f>L$3*Faktory!$D$14</f>
        <v>30338.820711504704</v>
      </c>
      <c r="M92" s="135">
        <f>M$3*Faktory!$D$14</f>
        <v>25672.178865199014</v>
      </c>
      <c r="N92" s="135">
        <f>N$3*Faktory!$D$14</f>
        <v>31502.051598838203</v>
      </c>
      <c r="O92" s="135">
        <f>O$3*Faktory!$D$14</f>
        <v>38105.797673408939</v>
      </c>
      <c r="P92" s="135">
        <f>P$3*Faktory!$D$14</f>
        <v>37574.011926095183</v>
      </c>
      <c r="Q92" s="135">
        <f>Q$3*Faktory!$D$14</f>
        <v>25482.94706285444</v>
      </c>
      <c r="R92" s="135">
        <f>R$3*Faktory!$D$14</f>
        <v>0</v>
      </c>
      <c r="S92" s="135"/>
      <c r="T92" s="135">
        <f>T$3*Faktory!$D$14</f>
        <v>0</v>
      </c>
      <c r="U92" s="135">
        <f>U$3*Faktory!$D$14</f>
        <v>0</v>
      </c>
      <c r="V92" s="135">
        <f>V$3*Faktory!$D$14</f>
        <v>0</v>
      </c>
      <c r="W92" s="135">
        <f>W$3*Faktory!$D$14</f>
        <v>11014.985509609649</v>
      </c>
      <c r="X92" s="135">
        <f>X$3*Faktory!$D$14</f>
        <v>0</v>
      </c>
      <c r="Y92" s="135">
        <f>Y$3*Faktory!$D$14</f>
        <v>0</v>
      </c>
      <c r="Z92" s="135">
        <f>Z$3*Faktory!$D$14</f>
        <v>2989.7817811797622</v>
      </c>
      <c r="AA92" s="135">
        <f>AA$3*Faktory!$D$14</f>
        <v>28684.958967772469</v>
      </c>
      <c r="AB92" s="135">
        <f>AB$3*Faktory!$D$14</f>
        <v>56130.429456221835</v>
      </c>
    </row>
    <row r="93" spans="1:28" ht="15.75" outlineLevel="2" thickBot="1" x14ac:dyDescent="0.3">
      <c r="A93" s="672"/>
      <c r="B93" s="673"/>
      <c r="C93" s="673"/>
      <c r="D93" s="81" t="s">
        <v>35</v>
      </c>
      <c r="E93" s="78">
        <f t="shared" si="10"/>
        <v>881067.80915999995</v>
      </c>
      <c r="F93" s="134">
        <v>240000</v>
      </c>
      <c r="G93" s="135">
        <f t="shared" si="11"/>
        <v>288000</v>
      </c>
      <c r="H93" s="135">
        <f>H$3*Faktory!$D$14</f>
        <v>25600.359545759067</v>
      </c>
      <c r="I93" s="135">
        <f>I$3*Faktory!$D$14</f>
        <v>11321.629794858856</v>
      </c>
      <c r="J93" s="135">
        <f>J$3*Faktory!$D$14</f>
        <v>0</v>
      </c>
      <c r="K93" s="135">
        <f>K$3*Faktory!$D$14</f>
        <v>28649.856266697887</v>
      </c>
      <c r="L93" s="135">
        <f>L$3*Faktory!$D$14</f>
        <v>30338.820711504704</v>
      </c>
      <c r="M93" s="135">
        <f>M$3*Faktory!$D$14</f>
        <v>25672.178865199014</v>
      </c>
      <c r="N93" s="135">
        <f>N$3*Faktory!$D$14</f>
        <v>31502.051598838203</v>
      </c>
      <c r="O93" s="135">
        <f>O$3*Faktory!$D$14</f>
        <v>38105.797673408939</v>
      </c>
      <c r="P93" s="135">
        <f>P$3*Faktory!$D$14</f>
        <v>37574.011926095183</v>
      </c>
      <c r="Q93" s="135">
        <f>Q$3*Faktory!$D$14</f>
        <v>25482.94706285444</v>
      </c>
      <c r="R93" s="135">
        <f>R$3*Faktory!$D$14</f>
        <v>0</v>
      </c>
      <c r="S93" s="137"/>
      <c r="T93" s="135">
        <f>T$3*Faktory!$D$14</f>
        <v>0</v>
      </c>
      <c r="U93" s="135">
        <f>U$3*Faktory!$D$14</f>
        <v>0</v>
      </c>
      <c r="V93" s="135">
        <f>V$3*Faktory!$D$14</f>
        <v>0</v>
      </c>
      <c r="W93" s="135">
        <f>W$3*Faktory!$D$14</f>
        <v>11014.985509609649</v>
      </c>
      <c r="X93" s="135">
        <f>X$3*Faktory!$D$14</f>
        <v>0</v>
      </c>
      <c r="Y93" s="135">
        <f>Y$3*Faktory!$D$14</f>
        <v>0</v>
      </c>
      <c r="Z93" s="135">
        <f>Z$3*Faktory!$D$14</f>
        <v>2989.7817811797622</v>
      </c>
      <c r="AA93" s="135">
        <f>AA$3*Faktory!$D$14</f>
        <v>28684.958967772469</v>
      </c>
      <c r="AB93" s="135">
        <f>AB$3*Faktory!$D$14</f>
        <v>56130.429456221835</v>
      </c>
    </row>
    <row r="94" spans="1:28" outlineLevel="2" x14ac:dyDescent="0.25">
      <c r="A94" s="672" t="s">
        <v>83</v>
      </c>
      <c r="B94" s="673" t="s">
        <v>77</v>
      </c>
      <c r="C94" s="673">
        <v>637005</v>
      </c>
      <c r="D94" s="79" t="s">
        <v>26</v>
      </c>
      <c r="E94" s="84">
        <f t="shared" ref="E84:E115" si="12">SUM(H94:AB94)</f>
        <v>0</v>
      </c>
      <c r="F94" s="132"/>
      <c r="G94" s="132"/>
      <c r="H94" s="132"/>
      <c r="I94" s="133"/>
      <c r="J94" s="319"/>
      <c r="K94" s="319"/>
      <c r="L94" s="319"/>
      <c r="M94" s="319"/>
      <c r="N94" s="319"/>
      <c r="O94" s="319"/>
      <c r="P94" s="319"/>
      <c r="Q94" s="319"/>
      <c r="R94" s="319"/>
      <c r="S94" s="319"/>
      <c r="T94" s="319"/>
      <c r="U94" s="319"/>
      <c r="V94" s="319"/>
      <c r="W94" s="319"/>
      <c r="X94" s="319"/>
      <c r="Y94" s="319"/>
      <c r="Z94" s="319"/>
      <c r="AA94" s="319"/>
      <c r="AB94" s="319"/>
    </row>
    <row r="95" spans="1:28" outlineLevel="2" x14ac:dyDescent="0.25">
      <c r="A95" s="672"/>
      <c r="B95" s="673"/>
      <c r="C95" s="673"/>
      <c r="D95" s="80" t="s">
        <v>27</v>
      </c>
      <c r="E95" s="84">
        <f t="shared" si="12"/>
        <v>0</v>
      </c>
      <c r="F95" s="134"/>
      <c r="G95" s="134"/>
      <c r="H95" s="134"/>
      <c r="I95" s="135"/>
      <c r="J95" s="320"/>
      <c r="K95" s="320"/>
      <c r="L95" s="320"/>
      <c r="M95" s="320"/>
      <c r="N95" s="320"/>
      <c r="O95" s="320"/>
      <c r="P95" s="320"/>
      <c r="Q95" s="320"/>
      <c r="R95" s="320"/>
      <c r="S95" s="320"/>
      <c r="T95" s="320"/>
      <c r="U95" s="320"/>
      <c r="V95" s="320"/>
      <c r="W95" s="320"/>
      <c r="X95" s="320"/>
      <c r="Y95" s="320"/>
      <c r="Z95" s="320"/>
      <c r="AA95" s="320"/>
      <c r="AB95" s="320"/>
    </row>
    <row r="96" spans="1:28" outlineLevel="2" x14ac:dyDescent="0.25">
      <c r="A96" s="672"/>
      <c r="B96" s="673"/>
      <c r="C96" s="673"/>
      <c r="D96" s="80" t="s">
        <v>28</v>
      </c>
      <c r="E96" s="84">
        <f t="shared" si="12"/>
        <v>0</v>
      </c>
      <c r="F96" s="134"/>
      <c r="G96" s="134"/>
      <c r="H96" s="134"/>
      <c r="I96" s="135"/>
      <c r="J96" s="320"/>
      <c r="K96" s="320"/>
      <c r="L96" s="320"/>
      <c r="M96" s="320"/>
      <c r="N96" s="320"/>
      <c r="O96" s="320"/>
      <c r="P96" s="320"/>
      <c r="Q96" s="320"/>
      <c r="R96" s="320"/>
      <c r="S96" s="320"/>
      <c r="T96" s="320"/>
      <c r="U96" s="320"/>
      <c r="V96" s="320"/>
      <c r="W96" s="320"/>
      <c r="X96" s="320"/>
      <c r="Y96" s="320"/>
      <c r="Z96" s="320"/>
      <c r="AA96" s="320"/>
      <c r="AB96" s="320"/>
    </row>
    <row r="97" spans="1:28" outlineLevel="2" x14ac:dyDescent="0.25">
      <c r="A97" s="672"/>
      <c r="B97" s="673"/>
      <c r="C97" s="673"/>
      <c r="D97" s="80" t="s">
        <v>29</v>
      </c>
      <c r="E97" s="84">
        <f t="shared" si="12"/>
        <v>0</v>
      </c>
      <c r="F97" s="134"/>
      <c r="G97" s="134"/>
      <c r="H97" s="134"/>
      <c r="I97" s="135"/>
      <c r="J97" s="320"/>
      <c r="K97" s="320"/>
      <c r="L97" s="320"/>
      <c r="M97" s="320"/>
      <c r="N97" s="320"/>
      <c r="O97" s="320"/>
      <c r="P97" s="320"/>
      <c r="Q97" s="320"/>
      <c r="R97" s="320"/>
      <c r="S97" s="320"/>
      <c r="T97" s="320"/>
      <c r="U97" s="320"/>
      <c r="V97" s="320"/>
      <c r="W97" s="320"/>
      <c r="X97" s="320"/>
      <c r="Y97" s="320"/>
      <c r="Z97" s="320"/>
      <c r="AA97" s="320"/>
      <c r="AB97" s="320"/>
    </row>
    <row r="98" spans="1:28" outlineLevel="2" x14ac:dyDescent="0.25">
      <c r="A98" s="672"/>
      <c r="B98" s="673"/>
      <c r="C98" s="673"/>
      <c r="D98" s="80" t="s">
        <v>30</v>
      </c>
      <c r="E98" s="84">
        <f t="shared" si="12"/>
        <v>0</v>
      </c>
      <c r="F98" s="134"/>
      <c r="G98" s="134"/>
      <c r="H98" s="134"/>
      <c r="I98" s="135"/>
      <c r="J98" s="320"/>
      <c r="K98" s="320"/>
      <c r="L98" s="320"/>
      <c r="M98" s="320"/>
      <c r="N98" s="320"/>
      <c r="O98" s="320"/>
      <c r="P98" s="320"/>
      <c r="Q98" s="320"/>
      <c r="R98" s="320"/>
      <c r="S98" s="320"/>
      <c r="T98" s="320"/>
      <c r="U98" s="320"/>
      <c r="V98" s="320"/>
      <c r="W98" s="320"/>
      <c r="X98" s="320"/>
      <c r="Y98" s="320"/>
      <c r="Z98" s="320"/>
      <c r="AA98" s="320"/>
      <c r="AB98" s="320"/>
    </row>
    <row r="99" spans="1:28" outlineLevel="2" x14ac:dyDescent="0.25">
      <c r="A99" s="672"/>
      <c r="B99" s="673"/>
      <c r="C99" s="673"/>
      <c r="D99" s="80" t="s">
        <v>31</v>
      </c>
      <c r="E99" s="84">
        <f t="shared" si="12"/>
        <v>0</v>
      </c>
      <c r="F99" s="134"/>
      <c r="G99" s="134"/>
      <c r="H99" s="134"/>
      <c r="I99" s="135"/>
      <c r="J99" s="320"/>
      <c r="K99" s="320"/>
      <c r="L99" s="320"/>
      <c r="M99" s="320"/>
      <c r="N99" s="320"/>
      <c r="O99" s="320"/>
      <c r="P99" s="320"/>
      <c r="Q99" s="320"/>
      <c r="R99" s="320"/>
      <c r="S99" s="320"/>
      <c r="T99" s="320"/>
      <c r="U99" s="320"/>
      <c r="V99" s="320"/>
      <c r="W99" s="320"/>
      <c r="X99" s="320"/>
      <c r="Y99" s="320"/>
      <c r="Z99" s="320"/>
      <c r="AA99" s="320"/>
      <c r="AB99" s="320"/>
    </row>
    <row r="100" spans="1:28" outlineLevel="2" x14ac:dyDescent="0.25">
      <c r="A100" s="672"/>
      <c r="B100" s="673"/>
      <c r="C100" s="673"/>
      <c r="D100" s="80" t="s">
        <v>32</v>
      </c>
      <c r="E100" s="84">
        <f t="shared" si="12"/>
        <v>0</v>
      </c>
      <c r="F100" s="134"/>
      <c r="G100" s="134"/>
      <c r="H100" s="134"/>
      <c r="I100" s="135"/>
      <c r="J100" s="320"/>
      <c r="K100" s="320"/>
      <c r="L100" s="320"/>
      <c r="M100" s="320"/>
      <c r="N100" s="320"/>
      <c r="O100" s="320"/>
      <c r="P100" s="320"/>
      <c r="Q100" s="320"/>
      <c r="R100" s="320"/>
      <c r="S100" s="320"/>
      <c r="T100" s="320"/>
      <c r="U100" s="320"/>
      <c r="V100" s="320"/>
      <c r="W100" s="320"/>
      <c r="X100" s="320"/>
      <c r="Y100" s="320"/>
      <c r="Z100" s="320"/>
      <c r="AA100" s="320"/>
      <c r="AB100" s="320"/>
    </row>
    <row r="101" spans="1:28" outlineLevel="2" x14ac:dyDescent="0.25">
      <c r="A101" s="672"/>
      <c r="B101" s="673"/>
      <c r="C101" s="673"/>
      <c r="D101" s="80" t="s">
        <v>33</v>
      </c>
      <c r="E101" s="84">
        <f t="shared" si="12"/>
        <v>0</v>
      </c>
      <c r="F101" s="134"/>
      <c r="G101" s="134"/>
      <c r="H101" s="134"/>
      <c r="I101" s="135"/>
      <c r="J101" s="320"/>
      <c r="K101" s="320"/>
      <c r="L101" s="320"/>
      <c r="M101" s="320"/>
      <c r="N101" s="320"/>
      <c r="O101" s="320"/>
      <c r="P101" s="320"/>
      <c r="Q101" s="320"/>
      <c r="R101" s="320"/>
      <c r="S101" s="320"/>
      <c r="T101" s="320"/>
      <c r="U101" s="320"/>
      <c r="V101" s="320"/>
      <c r="W101" s="320"/>
      <c r="X101" s="320"/>
      <c r="Y101" s="320"/>
      <c r="Z101" s="320"/>
      <c r="AA101" s="320"/>
      <c r="AB101" s="320"/>
    </row>
    <row r="102" spans="1:28" outlineLevel="2" x14ac:dyDescent="0.25">
      <c r="A102" s="672"/>
      <c r="B102" s="673"/>
      <c r="C102" s="673"/>
      <c r="D102" s="80" t="s">
        <v>34</v>
      </c>
      <c r="E102" s="84">
        <f t="shared" si="12"/>
        <v>0</v>
      </c>
      <c r="F102" s="134"/>
      <c r="G102" s="134"/>
      <c r="H102" s="134"/>
      <c r="I102" s="135"/>
      <c r="J102" s="320"/>
      <c r="K102" s="320"/>
      <c r="L102" s="320"/>
      <c r="M102" s="320"/>
      <c r="N102" s="320"/>
      <c r="O102" s="320"/>
      <c r="P102" s="320"/>
      <c r="Q102" s="320"/>
      <c r="R102" s="320"/>
      <c r="S102" s="320"/>
      <c r="T102" s="320"/>
      <c r="U102" s="320"/>
      <c r="V102" s="320"/>
      <c r="W102" s="320"/>
      <c r="X102" s="320"/>
      <c r="Y102" s="320"/>
      <c r="Z102" s="320"/>
      <c r="AA102" s="320"/>
      <c r="AB102" s="320"/>
    </row>
    <row r="103" spans="1:28" ht="15.75" outlineLevel="2" thickBot="1" x14ac:dyDescent="0.3">
      <c r="A103" s="672"/>
      <c r="B103" s="673"/>
      <c r="C103" s="673"/>
      <c r="D103" s="81" t="s">
        <v>35</v>
      </c>
      <c r="E103" s="85">
        <f t="shared" si="12"/>
        <v>0</v>
      </c>
      <c r="F103" s="136"/>
      <c r="G103" s="136"/>
      <c r="H103" s="136"/>
      <c r="I103" s="137"/>
      <c r="J103" s="321"/>
      <c r="K103" s="321"/>
      <c r="L103" s="321"/>
      <c r="M103" s="321"/>
      <c r="N103" s="321"/>
      <c r="O103" s="321"/>
      <c r="P103" s="321"/>
      <c r="Q103" s="321"/>
      <c r="R103" s="321"/>
      <c r="S103" s="321"/>
      <c r="T103" s="321"/>
      <c r="U103" s="321"/>
      <c r="V103" s="321"/>
      <c r="W103" s="321"/>
      <c r="X103" s="321"/>
      <c r="Y103" s="321"/>
      <c r="Z103" s="321"/>
      <c r="AA103" s="321"/>
      <c r="AB103" s="321"/>
    </row>
    <row r="104" spans="1:28" outlineLevel="2" x14ac:dyDescent="0.25">
      <c r="A104" s="672" t="s">
        <v>84</v>
      </c>
      <c r="B104" s="673" t="s">
        <v>72</v>
      </c>
      <c r="C104" s="673">
        <v>718006</v>
      </c>
      <c r="D104" s="79" t="s">
        <v>26</v>
      </c>
      <c r="E104" s="84">
        <f t="shared" si="12"/>
        <v>0</v>
      </c>
      <c r="F104" s="132"/>
      <c r="G104" s="132"/>
      <c r="H104" s="132"/>
      <c r="I104" s="133"/>
      <c r="J104" s="319"/>
      <c r="K104" s="319"/>
      <c r="L104" s="319"/>
      <c r="M104" s="319"/>
      <c r="N104" s="319"/>
      <c r="O104" s="319"/>
      <c r="P104" s="319"/>
      <c r="Q104" s="319"/>
      <c r="R104" s="319"/>
      <c r="S104" s="319"/>
      <c r="T104" s="319"/>
      <c r="U104" s="319"/>
      <c r="V104" s="319"/>
      <c r="W104" s="319"/>
      <c r="X104" s="319"/>
      <c r="Y104" s="319"/>
      <c r="Z104" s="319"/>
      <c r="AA104" s="319"/>
      <c r="AB104" s="319"/>
    </row>
    <row r="105" spans="1:28" outlineLevel="2" x14ac:dyDescent="0.25">
      <c r="A105" s="672"/>
      <c r="B105" s="673"/>
      <c r="C105" s="673"/>
      <c r="D105" s="80" t="s">
        <v>27</v>
      </c>
      <c r="E105" s="84">
        <f t="shared" si="12"/>
        <v>0</v>
      </c>
      <c r="F105" s="134"/>
      <c r="G105" s="134"/>
      <c r="H105" s="134"/>
      <c r="I105" s="135"/>
      <c r="J105" s="320"/>
      <c r="K105" s="320"/>
      <c r="L105" s="320"/>
      <c r="M105" s="320"/>
      <c r="N105" s="320"/>
      <c r="O105" s="320"/>
      <c r="P105" s="320"/>
      <c r="Q105" s="320"/>
      <c r="R105" s="320"/>
      <c r="S105" s="320"/>
      <c r="T105" s="320"/>
      <c r="U105" s="320"/>
      <c r="V105" s="320"/>
      <c r="W105" s="320"/>
      <c r="X105" s="320"/>
      <c r="Y105" s="320"/>
      <c r="Z105" s="320"/>
      <c r="AA105" s="320"/>
      <c r="AB105" s="320"/>
    </row>
    <row r="106" spans="1:28" outlineLevel="2" x14ac:dyDescent="0.25">
      <c r="A106" s="672"/>
      <c r="B106" s="673"/>
      <c r="C106" s="673"/>
      <c r="D106" s="80" t="s">
        <v>28</v>
      </c>
      <c r="E106" s="84">
        <f t="shared" si="12"/>
        <v>0</v>
      </c>
      <c r="F106" s="134"/>
      <c r="G106" s="134"/>
      <c r="H106" s="134"/>
      <c r="I106" s="135"/>
      <c r="J106" s="320"/>
      <c r="K106" s="320"/>
      <c r="L106" s="320"/>
      <c r="M106" s="320"/>
      <c r="N106" s="320"/>
      <c r="O106" s="320"/>
      <c r="P106" s="320"/>
      <c r="Q106" s="320"/>
      <c r="R106" s="320"/>
      <c r="S106" s="320"/>
      <c r="T106" s="320"/>
      <c r="U106" s="320"/>
      <c r="V106" s="320"/>
      <c r="W106" s="320"/>
      <c r="X106" s="320"/>
      <c r="Y106" s="320"/>
      <c r="Z106" s="320"/>
      <c r="AA106" s="320"/>
      <c r="AB106" s="320"/>
    </row>
    <row r="107" spans="1:28" outlineLevel="2" x14ac:dyDescent="0.25">
      <c r="A107" s="672"/>
      <c r="B107" s="673"/>
      <c r="C107" s="673"/>
      <c r="D107" s="80" t="s">
        <v>29</v>
      </c>
      <c r="E107" s="84">
        <f t="shared" si="12"/>
        <v>0</v>
      </c>
      <c r="F107" s="134"/>
      <c r="G107" s="134"/>
      <c r="H107" s="134"/>
      <c r="I107" s="135"/>
      <c r="J107" s="320"/>
      <c r="K107" s="320"/>
      <c r="L107" s="320"/>
      <c r="M107" s="320"/>
      <c r="N107" s="320"/>
      <c r="O107" s="320"/>
      <c r="P107" s="320"/>
      <c r="Q107" s="320"/>
      <c r="R107" s="320"/>
      <c r="S107" s="320"/>
      <c r="T107" s="320"/>
      <c r="U107" s="320"/>
      <c r="V107" s="320"/>
      <c r="W107" s="320"/>
      <c r="X107" s="320"/>
      <c r="Y107" s="320"/>
      <c r="Z107" s="320"/>
      <c r="AA107" s="320"/>
      <c r="AB107" s="320"/>
    </row>
    <row r="108" spans="1:28" outlineLevel="2" x14ac:dyDescent="0.25">
      <c r="A108" s="672"/>
      <c r="B108" s="673"/>
      <c r="C108" s="673"/>
      <c r="D108" s="80" t="s">
        <v>30</v>
      </c>
      <c r="E108" s="84">
        <f t="shared" si="12"/>
        <v>0</v>
      </c>
      <c r="F108" s="134"/>
      <c r="G108" s="134"/>
      <c r="H108" s="134"/>
      <c r="I108" s="135"/>
      <c r="J108" s="320"/>
      <c r="K108" s="320"/>
      <c r="L108" s="320"/>
      <c r="M108" s="320"/>
      <c r="N108" s="320"/>
      <c r="O108" s="320"/>
      <c r="P108" s="320"/>
      <c r="Q108" s="320"/>
      <c r="R108" s="320"/>
      <c r="S108" s="320"/>
      <c r="T108" s="320"/>
      <c r="U108" s="320"/>
      <c r="V108" s="320"/>
      <c r="W108" s="320"/>
      <c r="X108" s="320"/>
      <c r="Y108" s="320"/>
      <c r="Z108" s="320"/>
      <c r="AA108" s="320"/>
      <c r="AB108" s="320"/>
    </row>
    <row r="109" spans="1:28" outlineLevel="2" x14ac:dyDescent="0.25">
      <c r="A109" s="672"/>
      <c r="B109" s="673"/>
      <c r="C109" s="673"/>
      <c r="D109" s="80" t="s">
        <v>31</v>
      </c>
      <c r="E109" s="84">
        <f t="shared" si="12"/>
        <v>0</v>
      </c>
      <c r="F109" s="134"/>
      <c r="G109" s="134"/>
      <c r="H109" s="134"/>
      <c r="I109" s="135"/>
      <c r="J109" s="320"/>
      <c r="K109" s="320"/>
      <c r="L109" s="320"/>
      <c r="M109" s="320"/>
      <c r="N109" s="320"/>
      <c r="O109" s="320"/>
      <c r="P109" s="320"/>
      <c r="Q109" s="320"/>
      <c r="R109" s="320"/>
      <c r="S109" s="320"/>
      <c r="T109" s="320"/>
      <c r="U109" s="320"/>
      <c r="V109" s="320"/>
      <c r="W109" s="320"/>
      <c r="X109" s="320"/>
      <c r="Y109" s="320"/>
      <c r="Z109" s="320"/>
      <c r="AA109" s="320"/>
      <c r="AB109" s="320"/>
    </row>
    <row r="110" spans="1:28" outlineLevel="2" x14ac:dyDescent="0.25">
      <c r="A110" s="672"/>
      <c r="B110" s="673"/>
      <c r="C110" s="673"/>
      <c r="D110" s="80" t="s">
        <v>32</v>
      </c>
      <c r="E110" s="84">
        <f t="shared" si="12"/>
        <v>0</v>
      </c>
      <c r="F110" s="134"/>
      <c r="G110" s="134"/>
      <c r="H110" s="134"/>
      <c r="I110" s="135"/>
      <c r="J110" s="320"/>
      <c r="K110" s="320"/>
      <c r="L110" s="320"/>
      <c r="M110" s="320"/>
      <c r="N110" s="320"/>
      <c r="O110" s="320"/>
      <c r="P110" s="320"/>
      <c r="Q110" s="320"/>
      <c r="R110" s="320"/>
      <c r="S110" s="320"/>
      <c r="T110" s="320"/>
      <c r="U110" s="320"/>
      <c r="V110" s="320"/>
      <c r="W110" s="320"/>
      <c r="X110" s="320"/>
      <c r="Y110" s="320"/>
      <c r="Z110" s="320"/>
      <c r="AA110" s="320"/>
      <c r="AB110" s="320"/>
    </row>
    <row r="111" spans="1:28" outlineLevel="2" x14ac:dyDescent="0.25">
      <c r="A111" s="672"/>
      <c r="B111" s="673"/>
      <c r="C111" s="673"/>
      <c r="D111" s="80" t="s">
        <v>33</v>
      </c>
      <c r="E111" s="84">
        <f t="shared" si="12"/>
        <v>0</v>
      </c>
      <c r="F111" s="134"/>
      <c r="G111" s="134"/>
      <c r="H111" s="134"/>
      <c r="I111" s="135"/>
      <c r="J111" s="320"/>
      <c r="K111" s="320"/>
      <c r="L111" s="320"/>
      <c r="M111" s="320"/>
      <c r="N111" s="320"/>
      <c r="O111" s="320"/>
      <c r="P111" s="320"/>
      <c r="Q111" s="320"/>
      <c r="R111" s="320"/>
      <c r="S111" s="320"/>
      <c r="T111" s="320"/>
      <c r="U111" s="320"/>
      <c r="V111" s="320"/>
      <c r="W111" s="320"/>
      <c r="X111" s="320"/>
      <c r="Y111" s="320"/>
      <c r="Z111" s="320"/>
      <c r="AA111" s="320"/>
      <c r="AB111" s="320"/>
    </row>
    <row r="112" spans="1:28" outlineLevel="2" x14ac:dyDescent="0.25">
      <c r="A112" s="672"/>
      <c r="B112" s="673"/>
      <c r="C112" s="673"/>
      <c r="D112" s="80" t="s">
        <v>34</v>
      </c>
      <c r="E112" s="84">
        <f t="shared" si="12"/>
        <v>0</v>
      </c>
      <c r="F112" s="134"/>
      <c r="G112" s="134"/>
      <c r="H112" s="134"/>
      <c r="I112" s="135"/>
      <c r="J112" s="320"/>
      <c r="K112" s="320"/>
      <c r="L112" s="320"/>
      <c r="M112" s="320"/>
      <c r="N112" s="320"/>
      <c r="O112" s="320"/>
      <c r="P112" s="320"/>
      <c r="Q112" s="320"/>
      <c r="R112" s="320"/>
      <c r="S112" s="320"/>
      <c r="T112" s="320"/>
      <c r="U112" s="320"/>
      <c r="V112" s="320"/>
      <c r="W112" s="320"/>
      <c r="X112" s="320"/>
      <c r="Y112" s="320"/>
      <c r="Z112" s="320"/>
      <c r="AA112" s="320"/>
      <c r="AB112" s="320"/>
    </row>
    <row r="113" spans="1:29" ht="15.75" outlineLevel="2" thickBot="1" x14ac:dyDescent="0.3">
      <c r="A113" s="672"/>
      <c r="B113" s="673"/>
      <c r="C113" s="673"/>
      <c r="D113" s="81" t="s">
        <v>35</v>
      </c>
      <c r="E113" s="85">
        <f t="shared" si="12"/>
        <v>0</v>
      </c>
      <c r="F113" s="136"/>
      <c r="G113" s="136"/>
      <c r="H113" s="136"/>
      <c r="I113" s="137"/>
      <c r="J113" s="321"/>
      <c r="K113" s="321"/>
      <c r="L113" s="321"/>
      <c r="M113" s="321"/>
      <c r="N113" s="321"/>
      <c r="O113" s="321"/>
      <c r="P113" s="321"/>
      <c r="Q113" s="321"/>
      <c r="R113" s="321"/>
      <c r="S113" s="321"/>
      <c r="T113" s="321"/>
      <c r="U113" s="321"/>
      <c r="V113" s="321"/>
      <c r="W113" s="321"/>
      <c r="X113" s="321"/>
      <c r="Y113" s="321"/>
      <c r="Z113" s="321"/>
      <c r="AA113" s="321"/>
      <c r="AB113" s="321"/>
    </row>
    <row r="114" spans="1:29" outlineLevel="2" x14ac:dyDescent="0.25">
      <c r="A114" s="672" t="s">
        <v>85</v>
      </c>
      <c r="B114" s="673" t="s">
        <v>86</v>
      </c>
      <c r="C114" s="673"/>
      <c r="D114" s="79" t="s">
        <v>26</v>
      </c>
      <c r="E114" s="83">
        <f t="shared" si="12"/>
        <v>0</v>
      </c>
      <c r="F114" s="319"/>
      <c r="G114" s="319"/>
      <c r="H114" s="319">
        <f>(SUM(H$84:H$93) /SUM($E$84:$E$93))*$AC$114</f>
        <v>0</v>
      </c>
      <c r="I114" s="319">
        <f>(SUM(I$84:I$93) /SUM($E$84:$E$93))*$AC$114</f>
        <v>0</v>
      </c>
      <c r="J114" s="319">
        <f>(SUM(J$84:J$93) /SUM($E$84:$E$93))*$AC$114</f>
        <v>0</v>
      </c>
      <c r="K114" s="319">
        <f>(SUM(K$84:K$93) /SUM($E$84:$E$93))*$AC$114</f>
        <v>0</v>
      </c>
      <c r="L114" s="319">
        <f>(SUM(L$84:L$93) /SUM($E$84:$E$93))*$AC$114</f>
        <v>0</v>
      </c>
      <c r="M114" s="319">
        <f>(SUM(M$84:M$93) /SUM($E$84:$E$93))*$AC$114</f>
        <v>0</v>
      </c>
      <c r="N114" s="319">
        <f>(SUM(N$84:N$93) /SUM($E$84:$E$93))*$AC$114</f>
        <v>0</v>
      </c>
      <c r="O114" s="319">
        <f>(SUM(O$84:O$93) /SUM($E$84:$E$93))*$AC$114</f>
        <v>0</v>
      </c>
      <c r="P114" s="319">
        <f>(SUM(P$84:P$93) /SUM($E$84:$E$93))*$AC$114</f>
        <v>0</v>
      </c>
      <c r="Q114" s="319">
        <f>(SUM(Q$84:Q$93) /SUM($E$84:$E$93))*$AC$114</f>
        <v>0</v>
      </c>
      <c r="R114" s="319">
        <f>(SUM(R$84:R$93) /SUM($E$84:$E$93))*$AC$114</f>
        <v>0</v>
      </c>
      <c r="S114" s="319">
        <f>(SUM(S$84:S$93) /SUM($E$84:$E$93))*$AC$114</f>
        <v>0</v>
      </c>
      <c r="T114" s="319">
        <f>(SUM(T$84:T$93) /SUM($E$84:$E$93))*$AC$114</f>
        <v>0</v>
      </c>
      <c r="U114" s="319">
        <f>(SUM(U$84:U$93) /SUM($E$84:$E$93))*$AC$114</f>
        <v>0</v>
      </c>
      <c r="V114" s="319">
        <f>(SUM(V$84:V$93) /SUM($E$84:$E$93))*$AC$114</f>
        <v>0</v>
      </c>
      <c r="W114" s="319">
        <f>(SUM(W$84:W$93) /SUM($E$84:$E$93))*$AC$114</f>
        <v>0</v>
      </c>
      <c r="X114" s="319">
        <f>(SUM(X$84:X$93) /SUM($E$84:$E$93))*$AC$114</f>
        <v>0</v>
      </c>
      <c r="Y114" s="319">
        <f>(SUM(Y$84:Y$93) /SUM($E$84:$E$93))*$AC$114</f>
        <v>0</v>
      </c>
      <c r="Z114" s="319">
        <f>(SUM(Z$84:Z$93) /SUM($E$84:$E$93))*$AC$114</f>
        <v>0</v>
      </c>
      <c r="AA114" s="319">
        <f>(SUM(AA$84:AA$93) /SUM($E$84:$E$93))*$AC$114</f>
        <v>0</v>
      </c>
      <c r="AB114" s="319">
        <f>(SUM(AB$84:AB$93) /SUM($E$84:$E$93))*$AC$114</f>
        <v>0</v>
      </c>
      <c r="AC114" s="448">
        <f>TCO!D22</f>
        <v>0</v>
      </c>
    </row>
    <row r="115" spans="1:29" outlineLevel="2" x14ac:dyDescent="0.25">
      <c r="A115" s="672"/>
      <c r="B115" s="673"/>
      <c r="C115" s="673"/>
      <c r="D115" s="80" t="s">
        <v>27</v>
      </c>
      <c r="E115" s="84">
        <f t="shared" si="12"/>
        <v>0</v>
      </c>
      <c r="F115" s="320"/>
      <c r="G115" s="320"/>
      <c r="H115" s="320">
        <f>(SUM(H$84:H$93) /SUM($E$84:$E$93))*$AC$114</f>
        <v>0</v>
      </c>
      <c r="I115" s="320">
        <f>(SUM(I$84:I$93) /SUM($E$84:$E$93))*$AC$114</f>
        <v>0</v>
      </c>
      <c r="J115" s="320">
        <f>(SUM(J$84:J$93) /SUM($E$84:$E$93))*$AC$114</f>
        <v>0</v>
      </c>
      <c r="K115" s="320">
        <f>(SUM(K$84:K$93) /SUM($E$84:$E$93))*$AC$114</f>
        <v>0</v>
      </c>
      <c r="L115" s="320">
        <f>(SUM(L$84:L$93) /SUM($E$84:$E$93))*$AC$114</f>
        <v>0</v>
      </c>
      <c r="M115" s="320">
        <f>(SUM(M$84:M$93) /SUM($E$84:$E$93))*$AC$114</f>
        <v>0</v>
      </c>
      <c r="N115" s="320">
        <f>(SUM(N$84:N$93) /SUM($E$84:$E$93))*$AC$114</f>
        <v>0</v>
      </c>
      <c r="O115" s="320">
        <f>(SUM(O$84:O$93) /SUM($E$84:$E$93))*$AC$114</f>
        <v>0</v>
      </c>
      <c r="P115" s="320">
        <f>(SUM(P$84:P$93) /SUM($E$84:$E$93))*$AC$114</f>
        <v>0</v>
      </c>
      <c r="Q115" s="320">
        <f>(SUM(Q$84:Q$93) /SUM($E$84:$E$93))*$AC$114</f>
        <v>0</v>
      </c>
      <c r="R115" s="320">
        <f>(SUM(R$84:R$93) /SUM($E$84:$E$93))*$AC$114</f>
        <v>0</v>
      </c>
      <c r="S115" s="320">
        <f>(SUM(S$84:S$93) /SUM($E$84:$E$93))*$AC$114</f>
        <v>0</v>
      </c>
      <c r="T115" s="320">
        <f>(SUM(T$84:T$93) /SUM($E$84:$E$93))*$AC$114</f>
        <v>0</v>
      </c>
      <c r="U115" s="320">
        <f>(SUM(U$84:U$93) /SUM($E$84:$E$93))*$AC$114</f>
        <v>0</v>
      </c>
      <c r="V115" s="320">
        <f>(SUM(V$84:V$93) /SUM($E$84:$E$93))*$AC$114</f>
        <v>0</v>
      </c>
      <c r="W115" s="320">
        <f>(SUM(W$84:W$93) /SUM($E$84:$E$93))*$AC$114</f>
        <v>0</v>
      </c>
      <c r="X115" s="320">
        <f>(SUM(X$84:X$93) /SUM($E$84:$E$93))*$AC$114</f>
        <v>0</v>
      </c>
      <c r="Y115" s="320">
        <f>(SUM(Y$84:Y$93) /SUM($E$84:$E$93))*$AC$114</f>
        <v>0</v>
      </c>
      <c r="Z115" s="320">
        <f>(SUM(Z$84:Z$93) /SUM($E$84:$E$93))*$AC$114</f>
        <v>0</v>
      </c>
      <c r="AA115" s="320">
        <f>(SUM(AA$84:AA$93) /SUM($E$84:$E$93))*$AC$114</f>
        <v>0</v>
      </c>
      <c r="AB115" s="320">
        <f>(SUM(AB$84:AB$93) /SUM($E$84:$E$93))*$AC$114</f>
        <v>0</v>
      </c>
    </row>
    <row r="116" spans="1:29" outlineLevel="2" x14ac:dyDescent="0.25">
      <c r="A116" s="672"/>
      <c r="B116" s="673"/>
      <c r="C116" s="673"/>
      <c r="D116" s="80" t="s">
        <v>28</v>
      </c>
      <c r="E116" s="84">
        <f t="shared" ref="E116:E133" si="13">SUM(H116:AB116)</f>
        <v>0</v>
      </c>
      <c r="F116" s="320"/>
      <c r="G116" s="320"/>
      <c r="H116" s="320">
        <f>(SUM(H$84:H$93) /SUM($E$84:$E$93))*$AC$114</f>
        <v>0</v>
      </c>
      <c r="I116" s="320">
        <f>(SUM(I$84:I$93) /SUM($E$84:$E$93))*$AC$114</f>
        <v>0</v>
      </c>
      <c r="J116" s="320">
        <f>(SUM(J$84:J$93) /SUM($E$84:$E$93))*$AC$114</f>
        <v>0</v>
      </c>
      <c r="K116" s="320">
        <f>(SUM(K$84:K$93) /SUM($E$84:$E$93))*$AC$114</f>
        <v>0</v>
      </c>
      <c r="L116" s="320">
        <f>(SUM(L$84:L$93) /SUM($E$84:$E$93))*$AC$114</f>
        <v>0</v>
      </c>
      <c r="M116" s="320">
        <f>(SUM(M$84:M$93) /SUM($E$84:$E$93))*$AC$114</f>
        <v>0</v>
      </c>
      <c r="N116" s="320">
        <f>(SUM(N$84:N$93) /SUM($E$84:$E$93))*$AC$114</f>
        <v>0</v>
      </c>
      <c r="O116" s="320">
        <f>(SUM(O$84:O$93) /SUM($E$84:$E$93))*$AC$114</f>
        <v>0</v>
      </c>
      <c r="P116" s="320">
        <f>(SUM(P$84:P$93) /SUM($E$84:$E$93))*$AC$114</f>
        <v>0</v>
      </c>
      <c r="Q116" s="320">
        <f>(SUM(Q$84:Q$93) /SUM($E$84:$E$93))*$AC$114</f>
        <v>0</v>
      </c>
      <c r="R116" s="320">
        <f>(SUM(R$84:R$93) /SUM($E$84:$E$93))*$AC$114</f>
        <v>0</v>
      </c>
      <c r="S116" s="320">
        <f>(SUM(S$84:S$93) /SUM($E$84:$E$93))*$AC$114</f>
        <v>0</v>
      </c>
      <c r="T116" s="320">
        <f>(SUM(T$84:T$93) /SUM($E$84:$E$93))*$AC$114</f>
        <v>0</v>
      </c>
      <c r="U116" s="320">
        <f>(SUM(U$84:U$93) /SUM($E$84:$E$93))*$AC$114</f>
        <v>0</v>
      </c>
      <c r="V116" s="320">
        <f>(SUM(V$84:V$93) /SUM($E$84:$E$93))*$AC$114</f>
        <v>0</v>
      </c>
      <c r="W116" s="320">
        <f>(SUM(W$84:W$93) /SUM($E$84:$E$93))*$AC$114</f>
        <v>0</v>
      </c>
      <c r="X116" s="320">
        <f>(SUM(X$84:X$93) /SUM($E$84:$E$93))*$AC$114</f>
        <v>0</v>
      </c>
      <c r="Y116" s="320">
        <f>(SUM(Y$84:Y$93) /SUM($E$84:$E$93))*$AC$114</f>
        <v>0</v>
      </c>
      <c r="Z116" s="320">
        <f>(SUM(Z$84:Z$93) /SUM($E$84:$E$93))*$AC$114</f>
        <v>0</v>
      </c>
      <c r="AA116" s="320">
        <f>(SUM(AA$84:AA$93) /SUM($E$84:$E$93))*$AC$114</f>
        <v>0</v>
      </c>
      <c r="AB116" s="320">
        <f>(SUM(AB$84:AB$93) /SUM($E$84:$E$93))*$AC$114</f>
        <v>0</v>
      </c>
    </row>
    <row r="117" spans="1:29" outlineLevel="2" x14ac:dyDescent="0.25">
      <c r="A117" s="672"/>
      <c r="B117" s="673"/>
      <c r="C117" s="673"/>
      <c r="D117" s="80" t="s">
        <v>29</v>
      </c>
      <c r="E117" s="84">
        <f t="shared" si="13"/>
        <v>0</v>
      </c>
      <c r="F117" s="320"/>
      <c r="G117" s="320"/>
      <c r="H117" s="320">
        <f>(SUM(H$84:H$93) /SUM($E$84:$E$93))*$AC$114</f>
        <v>0</v>
      </c>
      <c r="I117" s="320">
        <f>(SUM(I$84:I$93) /SUM($E$84:$E$93))*$AC$114</f>
        <v>0</v>
      </c>
      <c r="J117" s="320">
        <f>(SUM(J$84:J$93) /SUM($E$84:$E$93))*$AC$114</f>
        <v>0</v>
      </c>
      <c r="K117" s="320">
        <f>(SUM(K$84:K$93) /SUM($E$84:$E$93))*$AC$114</f>
        <v>0</v>
      </c>
      <c r="L117" s="320">
        <f>(SUM(L$84:L$93) /SUM($E$84:$E$93))*$AC$114</f>
        <v>0</v>
      </c>
      <c r="M117" s="320">
        <f>(SUM(M$84:M$93) /SUM($E$84:$E$93))*$AC$114</f>
        <v>0</v>
      </c>
      <c r="N117" s="320">
        <f>(SUM(N$84:N$93) /SUM($E$84:$E$93))*$AC$114</f>
        <v>0</v>
      </c>
      <c r="O117" s="320">
        <f>(SUM(O$84:O$93) /SUM($E$84:$E$93))*$AC$114</f>
        <v>0</v>
      </c>
      <c r="P117" s="320">
        <f>(SUM(P$84:P$93) /SUM($E$84:$E$93))*$AC$114</f>
        <v>0</v>
      </c>
      <c r="Q117" s="320">
        <f>(SUM(Q$84:Q$93) /SUM($E$84:$E$93))*$AC$114</f>
        <v>0</v>
      </c>
      <c r="R117" s="320">
        <f>(SUM(R$84:R$93) /SUM($E$84:$E$93))*$AC$114</f>
        <v>0</v>
      </c>
      <c r="S117" s="320">
        <f>(SUM(S$84:S$93) /SUM($E$84:$E$93))*$AC$114</f>
        <v>0</v>
      </c>
      <c r="T117" s="320">
        <f>(SUM(T$84:T$93) /SUM($E$84:$E$93))*$AC$114</f>
        <v>0</v>
      </c>
      <c r="U117" s="320">
        <f>(SUM(U$84:U$93) /SUM($E$84:$E$93))*$AC$114</f>
        <v>0</v>
      </c>
      <c r="V117" s="320">
        <f>(SUM(V$84:V$93) /SUM($E$84:$E$93))*$AC$114</f>
        <v>0</v>
      </c>
      <c r="W117" s="320">
        <f>(SUM(W$84:W$93) /SUM($E$84:$E$93))*$AC$114</f>
        <v>0</v>
      </c>
      <c r="X117" s="320">
        <f>(SUM(X$84:X$93) /SUM($E$84:$E$93))*$AC$114</f>
        <v>0</v>
      </c>
      <c r="Y117" s="320">
        <f>(SUM(Y$84:Y$93) /SUM($E$84:$E$93))*$AC$114</f>
        <v>0</v>
      </c>
      <c r="Z117" s="320">
        <f>(SUM(Z$84:Z$93) /SUM($E$84:$E$93))*$AC$114</f>
        <v>0</v>
      </c>
      <c r="AA117" s="320">
        <f>(SUM(AA$84:AA$93) /SUM($E$84:$E$93))*$AC$114</f>
        <v>0</v>
      </c>
      <c r="AB117" s="320">
        <f>(SUM(AB$84:AB$93) /SUM($E$84:$E$93))*$AC$114</f>
        <v>0</v>
      </c>
    </row>
    <row r="118" spans="1:29" outlineLevel="2" x14ac:dyDescent="0.25">
      <c r="A118" s="672"/>
      <c r="B118" s="673"/>
      <c r="C118" s="673"/>
      <c r="D118" s="80" t="s">
        <v>30</v>
      </c>
      <c r="E118" s="84">
        <f t="shared" si="13"/>
        <v>0</v>
      </c>
      <c r="F118" s="320"/>
      <c r="G118" s="320"/>
      <c r="H118" s="320">
        <f>(SUM(H$84:H$93) /SUM($E$84:$E$93))*$AC$114</f>
        <v>0</v>
      </c>
      <c r="I118" s="320">
        <f>(SUM(I$84:I$93) /SUM($E$84:$E$93))*$AC$114</f>
        <v>0</v>
      </c>
      <c r="J118" s="320">
        <f>(SUM(J$84:J$93) /SUM($E$84:$E$93))*$AC$114</f>
        <v>0</v>
      </c>
      <c r="K118" s="320">
        <f>(SUM(K$84:K$93) /SUM($E$84:$E$93))*$AC$114</f>
        <v>0</v>
      </c>
      <c r="L118" s="320">
        <f>(SUM(L$84:L$93) /SUM($E$84:$E$93))*$AC$114</f>
        <v>0</v>
      </c>
      <c r="M118" s="320">
        <f>(SUM(M$84:M$93) /SUM($E$84:$E$93))*$AC$114</f>
        <v>0</v>
      </c>
      <c r="N118" s="320">
        <f>(SUM(N$84:N$93) /SUM($E$84:$E$93))*$AC$114</f>
        <v>0</v>
      </c>
      <c r="O118" s="320">
        <f>(SUM(O$84:O$93) /SUM($E$84:$E$93))*$AC$114</f>
        <v>0</v>
      </c>
      <c r="P118" s="320">
        <f>(SUM(P$84:P$93) /SUM($E$84:$E$93))*$AC$114</f>
        <v>0</v>
      </c>
      <c r="Q118" s="320">
        <f>(SUM(Q$84:Q$93) /SUM($E$84:$E$93))*$AC$114</f>
        <v>0</v>
      </c>
      <c r="R118" s="320">
        <f>(SUM(R$84:R$93) /SUM($E$84:$E$93))*$AC$114</f>
        <v>0</v>
      </c>
      <c r="S118" s="320">
        <f>(SUM(S$84:S$93) /SUM($E$84:$E$93))*$AC$114</f>
        <v>0</v>
      </c>
      <c r="T118" s="320">
        <f>(SUM(T$84:T$93) /SUM($E$84:$E$93))*$AC$114</f>
        <v>0</v>
      </c>
      <c r="U118" s="320">
        <f>(SUM(U$84:U$93) /SUM($E$84:$E$93))*$AC$114</f>
        <v>0</v>
      </c>
      <c r="V118" s="320">
        <f>(SUM(V$84:V$93) /SUM($E$84:$E$93))*$AC$114</f>
        <v>0</v>
      </c>
      <c r="W118" s="320">
        <f>(SUM(W$84:W$93) /SUM($E$84:$E$93))*$AC$114</f>
        <v>0</v>
      </c>
      <c r="X118" s="320">
        <f>(SUM(X$84:X$93) /SUM($E$84:$E$93))*$AC$114</f>
        <v>0</v>
      </c>
      <c r="Y118" s="320">
        <f>(SUM(Y$84:Y$93) /SUM($E$84:$E$93))*$AC$114</f>
        <v>0</v>
      </c>
      <c r="Z118" s="320">
        <f>(SUM(Z$84:Z$93) /SUM($E$84:$E$93))*$AC$114</f>
        <v>0</v>
      </c>
      <c r="AA118" s="320">
        <f>(SUM(AA$84:AA$93) /SUM($E$84:$E$93))*$AC$114</f>
        <v>0</v>
      </c>
      <c r="AB118" s="320">
        <f>(SUM(AB$84:AB$93) /SUM($E$84:$E$93))*$AC$114</f>
        <v>0</v>
      </c>
    </row>
    <row r="119" spans="1:29" outlineLevel="2" x14ac:dyDescent="0.25">
      <c r="A119" s="672"/>
      <c r="B119" s="673"/>
      <c r="C119" s="673"/>
      <c r="D119" s="80" t="s">
        <v>31</v>
      </c>
      <c r="E119" s="84">
        <f t="shared" si="13"/>
        <v>0</v>
      </c>
      <c r="F119" s="320"/>
      <c r="G119" s="320"/>
      <c r="H119" s="320">
        <f>(SUM(H$84:H$93) /SUM($E$84:$E$93))*$AC$114</f>
        <v>0</v>
      </c>
      <c r="I119" s="320">
        <f>(SUM(I$84:I$93) /SUM($E$84:$E$93))*$AC$114</f>
        <v>0</v>
      </c>
      <c r="J119" s="320">
        <f>(SUM(J$84:J$93) /SUM($E$84:$E$93))*$AC$114</f>
        <v>0</v>
      </c>
      <c r="K119" s="320">
        <f>(SUM(K$84:K$93) /SUM($E$84:$E$93))*$AC$114</f>
        <v>0</v>
      </c>
      <c r="L119" s="320">
        <f>(SUM(L$84:L$93) /SUM($E$84:$E$93))*$AC$114</f>
        <v>0</v>
      </c>
      <c r="M119" s="320">
        <f>(SUM(M$84:M$93) /SUM($E$84:$E$93))*$AC$114</f>
        <v>0</v>
      </c>
      <c r="N119" s="320">
        <f>(SUM(N$84:N$93) /SUM($E$84:$E$93))*$AC$114</f>
        <v>0</v>
      </c>
      <c r="O119" s="320">
        <f>(SUM(O$84:O$93) /SUM($E$84:$E$93))*$AC$114</f>
        <v>0</v>
      </c>
      <c r="P119" s="320">
        <f>(SUM(P$84:P$93) /SUM($E$84:$E$93))*$AC$114</f>
        <v>0</v>
      </c>
      <c r="Q119" s="320">
        <f>(SUM(Q$84:Q$93) /SUM($E$84:$E$93))*$AC$114</f>
        <v>0</v>
      </c>
      <c r="R119" s="320">
        <f>(SUM(R$84:R$93) /SUM($E$84:$E$93))*$AC$114</f>
        <v>0</v>
      </c>
      <c r="S119" s="320">
        <f>(SUM(S$84:S$93) /SUM($E$84:$E$93))*$AC$114</f>
        <v>0</v>
      </c>
      <c r="T119" s="320">
        <f>(SUM(T$84:T$93) /SUM($E$84:$E$93))*$AC$114</f>
        <v>0</v>
      </c>
      <c r="U119" s="320">
        <f>(SUM(U$84:U$93) /SUM($E$84:$E$93))*$AC$114</f>
        <v>0</v>
      </c>
      <c r="V119" s="320">
        <f>(SUM(V$84:V$93) /SUM($E$84:$E$93))*$AC$114</f>
        <v>0</v>
      </c>
      <c r="W119" s="320">
        <f>(SUM(W$84:W$93) /SUM($E$84:$E$93))*$AC$114</f>
        <v>0</v>
      </c>
      <c r="X119" s="320">
        <f>(SUM(X$84:X$93) /SUM($E$84:$E$93))*$AC$114</f>
        <v>0</v>
      </c>
      <c r="Y119" s="320">
        <f>(SUM(Y$84:Y$93) /SUM($E$84:$E$93))*$AC$114</f>
        <v>0</v>
      </c>
      <c r="Z119" s="320">
        <f>(SUM(Z$84:Z$93) /SUM($E$84:$E$93))*$AC$114</f>
        <v>0</v>
      </c>
      <c r="AA119" s="320">
        <f>(SUM(AA$84:AA$93) /SUM($E$84:$E$93))*$AC$114</f>
        <v>0</v>
      </c>
      <c r="AB119" s="320">
        <f>(SUM(AB$84:AB$93) /SUM($E$84:$E$93))*$AC$114</f>
        <v>0</v>
      </c>
    </row>
    <row r="120" spans="1:29" outlineLevel="2" x14ac:dyDescent="0.25">
      <c r="A120" s="672"/>
      <c r="B120" s="673"/>
      <c r="C120" s="673"/>
      <c r="D120" s="80" t="s">
        <v>32</v>
      </c>
      <c r="E120" s="84">
        <f t="shared" si="13"/>
        <v>0</v>
      </c>
      <c r="F120" s="320"/>
      <c r="G120" s="320"/>
      <c r="H120" s="320">
        <f>(SUM(H$84:H$93) /SUM($E$84:$E$93))*$AC$114</f>
        <v>0</v>
      </c>
      <c r="I120" s="320">
        <f>(SUM(I$84:I$93) /SUM($E$84:$E$93))*$AC$114</f>
        <v>0</v>
      </c>
      <c r="J120" s="320">
        <f>(SUM(J$84:J$93) /SUM($E$84:$E$93))*$AC$114</f>
        <v>0</v>
      </c>
      <c r="K120" s="320">
        <f>(SUM(K$84:K$93) /SUM($E$84:$E$93))*$AC$114</f>
        <v>0</v>
      </c>
      <c r="L120" s="320">
        <f>(SUM(L$84:L$93) /SUM($E$84:$E$93))*$AC$114</f>
        <v>0</v>
      </c>
      <c r="M120" s="320">
        <f>(SUM(M$84:M$93) /SUM($E$84:$E$93))*$AC$114</f>
        <v>0</v>
      </c>
      <c r="N120" s="320">
        <f>(SUM(N$84:N$93) /SUM($E$84:$E$93))*$AC$114</f>
        <v>0</v>
      </c>
      <c r="O120" s="320">
        <f>(SUM(O$84:O$93) /SUM($E$84:$E$93))*$AC$114</f>
        <v>0</v>
      </c>
      <c r="P120" s="320">
        <f>(SUM(P$84:P$93) /SUM($E$84:$E$93))*$AC$114</f>
        <v>0</v>
      </c>
      <c r="Q120" s="320">
        <f>(SUM(Q$84:Q$93) /SUM($E$84:$E$93))*$AC$114</f>
        <v>0</v>
      </c>
      <c r="R120" s="320">
        <f>(SUM(R$84:R$93) /SUM($E$84:$E$93))*$AC$114</f>
        <v>0</v>
      </c>
      <c r="S120" s="320">
        <f>(SUM(S$84:S$93) /SUM($E$84:$E$93))*$AC$114</f>
        <v>0</v>
      </c>
      <c r="T120" s="320">
        <f>(SUM(T$84:T$93) /SUM($E$84:$E$93))*$AC$114</f>
        <v>0</v>
      </c>
      <c r="U120" s="320">
        <f>(SUM(U$84:U$93) /SUM($E$84:$E$93))*$AC$114</f>
        <v>0</v>
      </c>
      <c r="V120" s="320">
        <f>(SUM(V$84:V$93) /SUM($E$84:$E$93))*$AC$114</f>
        <v>0</v>
      </c>
      <c r="W120" s="320">
        <f>(SUM(W$84:W$93) /SUM($E$84:$E$93))*$AC$114</f>
        <v>0</v>
      </c>
      <c r="X120" s="320">
        <f>(SUM(X$84:X$93) /SUM($E$84:$E$93))*$AC$114</f>
        <v>0</v>
      </c>
      <c r="Y120" s="320">
        <f>(SUM(Y$84:Y$93) /SUM($E$84:$E$93))*$AC$114</f>
        <v>0</v>
      </c>
      <c r="Z120" s="320">
        <f>(SUM(Z$84:Z$93) /SUM($E$84:$E$93))*$AC$114</f>
        <v>0</v>
      </c>
      <c r="AA120" s="320">
        <f>(SUM(AA$84:AA$93) /SUM($E$84:$E$93))*$AC$114</f>
        <v>0</v>
      </c>
      <c r="AB120" s="320">
        <f>(SUM(AB$84:AB$93) /SUM($E$84:$E$93))*$AC$114</f>
        <v>0</v>
      </c>
    </row>
    <row r="121" spans="1:29" outlineLevel="2" x14ac:dyDescent="0.25">
      <c r="A121" s="672"/>
      <c r="B121" s="673"/>
      <c r="C121" s="673"/>
      <c r="D121" s="80" t="s">
        <v>33</v>
      </c>
      <c r="E121" s="84">
        <f t="shared" si="13"/>
        <v>0</v>
      </c>
      <c r="F121" s="320"/>
      <c r="G121" s="320"/>
      <c r="H121" s="320">
        <f>(SUM(H$84:H$93) /SUM($E$84:$E$93))*$AC$114</f>
        <v>0</v>
      </c>
      <c r="I121" s="320">
        <f>(SUM(I$84:I$93) /SUM($E$84:$E$93))*$AC$114</f>
        <v>0</v>
      </c>
      <c r="J121" s="320">
        <f>(SUM(J$84:J$93) /SUM($E$84:$E$93))*$AC$114</f>
        <v>0</v>
      </c>
      <c r="K121" s="320">
        <f>(SUM(K$84:K$93) /SUM($E$84:$E$93))*$AC$114</f>
        <v>0</v>
      </c>
      <c r="L121" s="320">
        <f>(SUM(L$84:L$93) /SUM($E$84:$E$93))*$AC$114</f>
        <v>0</v>
      </c>
      <c r="M121" s="320">
        <f>(SUM(M$84:M$93) /SUM($E$84:$E$93))*$AC$114</f>
        <v>0</v>
      </c>
      <c r="N121" s="320">
        <f>(SUM(N$84:N$93) /SUM($E$84:$E$93))*$AC$114</f>
        <v>0</v>
      </c>
      <c r="O121" s="320">
        <f>(SUM(O$84:O$93) /SUM($E$84:$E$93))*$AC$114</f>
        <v>0</v>
      </c>
      <c r="P121" s="320">
        <f>(SUM(P$84:P$93) /SUM($E$84:$E$93))*$AC$114</f>
        <v>0</v>
      </c>
      <c r="Q121" s="320">
        <f>(SUM(Q$84:Q$93) /SUM($E$84:$E$93))*$AC$114</f>
        <v>0</v>
      </c>
      <c r="R121" s="320">
        <f>(SUM(R$84:R$93) /SUM($E$84:$E$93))*$AC$114</f>
        <v>0</v>
      </c>
      <c r="S121" s="320">
        <f>(SUM(S$84:S$93) /SUM($E$84:$E$93))*$AC$114</f>
        <v>0</v>
      </c>
      <c r="T121" s="320">
        <f>(SUM(T$84:T$93) /SUM($E$84:$E$93))*$AC$114</f>
        <v>0</v>
      </c>
      <c r="U121" s="320">
        <f>(SUM(U$84:U$93) /SUM($E$84:$E$93))*$AC$114</f>
        <v>0</v>
      </c>
      <c r="V121" s="320">
        <f>(SUM(V$84:V$93) /SUM($E$84:$E$93))*$AC$114</f>
        <v>0</v>
      </c>
      <c r="W121" s="320">
        <f>(SUM(W$84:W$93) /SUM($E$84:$E$93))*$AC$114</f>
        <v>0</v>
      </c>
      <c r="X121" s="320">
        <f>(SUM(X$84:X$93) /SUM($E$84:$E$93))*$AC$114</f>
        <v>0</v>
      </c>
      <c r="Y121" s="320">
        <f>(SUM(Y$84:Y$93) /SUM($E$84:$E$93))*$AC$114</f>
        <v>0</v>
      </c>
      <c r="Z121" s="320">
        <f>(SUM(Z$84:Z$93) /SUM($E$84:$E$93))*$AC$114</f>
        <v>0</v>
      </c>
      <c r="AA121" s="320">
        <f>(SUM(AA$84:AA$93) /SUM($E$84:$E$93))*$AC$114</f>
        <v>0</v>
      </c>
      <c r="AB121" s="320">
        <f>(SUM(AB$84:AB$93) /SUM($E$84:$E$93))*$AC$114</f>
        <v>0</v>
      </c>
    </row>
    <row r="122" spans="1:29" outlineLevel="2" x14ac:dyDescent="0.25">
      <c r="A122" s="672"/>
      <c r="B122" s="673"/>
      <c r="C122" s="673"/>
      <c r="D122" s="80" t="s">
        <v>34</v>
      </c>
      <c r="E122" s="84">
        <f t="shared" si="13"/>
        <v>0</v>
      </c>
      <c r="F122" s="320"/>
      <c r="G122" s="320"/>
      <c r="H122" s="320">
        <f>(SUM(H$84:H$93) /SUM($E$84:$E$93))*$AC$114</f>
        <v>0</v>
      </c>
      <c r="I122" s="320">
        <f>(SUM(I$84:I$93) /SUM($E$84:$E$93))*$AC$114</f>
        <v>0</v>
      </c>
      <c r="J122" s="320">
        <f>(SUM(J$84:J$93) /SUM($E$84:$E$93))*$AC$114</f>
        <v>0</v>
      </c>
      <c r="K122" s="320">
        <f>(SUM(K$84:K$93) /SUM($E$84:$E$93))*$AC$114</f>
        <v>0</v>
      </c>
      <c r="L122" s="320">
        <f>(SUM(L$84:L$93) /SUM($E$84:$E$93))*$AC$114</f>
        <v>0</v>
      </c>
      <c r="M122" s="320">
        <f>(SUM(M$84:M$93) /SUM($E$84:$E$93))*$AC$114</f>
        <v>0</v>
      </c>
      <c r="N122" s="320">
        <f>(SUM(N$84:N$93) /SUM($E$84:$E$93))*$AC$114</f>
        <v>0</v>
      </c>
      <c r="O122" s="320">
        <f>(SUM(O$84:O$93) /SUM($E$84:$E$93))*$AC$114</f>
        <v>0</v>
      </c>
      <c r="P122" s="320">
        <f>(SUM(P$84:P$93) /SUM($E$84:$E$93))*$AC$114</f>
        <v>0</v>
      </c>
      <c r="Q122" s="320">
        <f>(SUM(Q$84:Q$93) /SUM($E$84:$E$93))*$AC$114</f>
        <v>0</v>
      </c>
      <c r="R122" s="320">
        <f>(SUM(R$84:R$93) /SUM($E$84:$E$93))*$AC$114</f>
        <v>0</v>
      </c>
      <c r="S122" s="320">
        <f>(SUM(S$84:S$93) /SUM($E$84:$E$93))*$AC$114</f>
        <v>0</v>
      </c>
      <c r="T122" s="320">
        <f>(SUM(T$84:T$93) /SUM($E$84:$E$93))*$AC$114</f>
        <v>0</v>
      </c>
      <c r="U122" s="320">
        <f>(SUM(U$84:U$93) /SUM($E$84:$E$93))*$AC$114</f>
        <v>0</v>
      </c>
      <c r="V122" s="320">
        <f>(SUM(V$84:V$93) /SUM($E$84:$E$93))*$AC$114</f>
        <v>0</v>
      </c>
      <c r="W122" s="320">
        <f>(SUM(W$84:W$93) /SUM($E$84:$E$93))*$AC$114</f>
        <v>0</v>
      </c>
      <c r="X122" s="320">
        <f>(SUM(X$84:X$93) /SUM($E$84:$E$93))*$AC$114</f>
        <v>0</v>
      </c>
      <c r="Y122" s="320">
        <f>(SUM(Y$84:Y$93) /SUM($E$84:$E$93))*$AC$114</f>
        <v>0</v>
      </c>
      <c r="Z122" s="320">
        <f>(SUM(Z$84:Z$93) /SUM($E$84:$E$93))*$AC$114</f>
        <v>0</v>
      </c>
      <c r="AA122" s="320">
        <f>(SUM(AA$84:AA$93) /SUM($E$84:$E$93))*$AC$114</f>
        <v>0</v>
      </c>
      <c r="AB122" s="320">
        <f>(SUM(AB$84:AB$93) /SUM($E$84:$E$93))*$AC$114</f>
        <v>0</v>
      </c>
    </row>
    <row r="123" spans="1:29" ht="15.75" outlineLevel="2" thickBot="1" x14ac:dyDescent="0.3">
      <c r="A123" s="672"/>
      <c r="B123" s="673"/>
      <c r="C123" s="673"/>
      <c r="D123" s="81" t="s">
        <v>35</v>
      </c>
      <c r="E123" s="85">
        <f t="shared" si="13"/>
        <v>0</v>
      </c>
      <c r="F123" s="321"/>
      <c r="G123" s="321"/>
      <c r="H123" s="321">
        <f>(SUM(H$84:H$93) /SUM($E$84:$E$93))*$AC$114</f>
        <v>0</v>
      </c>
      <c r="I123" s="321">
        <f>(SUM(I$84:I$93) /SUM($E$84:$E$93))*$AC$114</f>
        <v>0</v>
      </c>
      <c r="J123" s="321">
        <f>(SUM(J$84:J$93) /SUM($E$84:$E$93))*$AC$114</f>
        <v>0</v>
      </c>
      <c r="K123" s="321">
        <f>(SUM(K$84:K$93) /SUM($E$84:$E$93))*$AC$114</f>
        <v>0</v>
      </c>
      <c r="L123" s="321">
        <f>(SUM(L$84:L$93) /SUM($E$84:$E$93))*$AC$114</f>
        <v>0</v>
      </c>
      <c r="M123" s="321">
        <f>(SUM(M$84:M$93) /SUM($E$84:$E$93))*$AC$114</f>
        <v>0</v>
      </c>
      <c r="N123" s="321">
        <f>(SUM(N$84:N$93) /SUM($E$84:$E$93))*$AC$114</f>
        <v>0</v>
      </c>
      <c r="O123" s="321">
        <f>(SUM(O$84:O$93) /SUM($E$84:$E$93))*$AC$114</f>
        <v>0</v>
      </c>
      <c r="P123" s="321">
        <f>(SUM(P$84:P$93) /SUM($E$84:$E$93))*$AC$114</f>
        <v>0</v>
      </c>
      <c r="Q123" s="321">
        <f>(SUM(Q$84:Q$93) /SUM($E$84:$E$93))*$AC$114</f>
        <v>0</v>
      </c>
      <c r="R123" s="321">
        <f>(SUM(R$84:R$93) /SUM($E$84:$E$93))*$AC$114</f>
        <v>0</v>
      </c>
      <c r="S123" s="321">
        <f>(SUM(S$84:S$93) /SUM($E$84:$E$93))*$AC$114</f>
        <v>0</v>
      </c>
      <c r="T123" s="321">
        <f>(SUM(T$84:T$93) /SUM($E$84:$E$93))*$AC$114</f>
        <v>0</v>
      </c>
      <c r="U123" s="321">
        <f>(SUM(U$84:U$93) /SUM($E$84:$E$93))*$AC$114</f>
        <v>0</v>
      </c>
      <c r="V123" s="321">
        <f>(SUM(V$84:V$93) /SUM($E$84:$E$93))*$AC$114</f>
        <v>0</v>
      </c>
      <c r="W123" s="321">
        <f>(SUM(W$84:W$93) /SUM($E$84:$E$93))*$AC$114</f>
        <v>0</v>
      </c>
      <c r="X123" s="320">
        <f>(SUM(X$84:X$93) /SUM($E$84:$E$93))*$AC$114</f>
        <v>0</v>
      </c>
      <c r="Y123" s="320">
        <f>(SUM(Y$84:Y$93) /SUM($E$84:$E$93))*$AC$114</f>
        <v>0</v>
      </c>
      <c r="Z123" s="320">
        <f>(SUM(Z$84:Z$93) /SUM($E$84:$E$93))*$AC$114</f>
        <v>0</v>
      </c>
      <c r="AA123" s="320">
        <f>(SUM(AA$84:AA$93) /SUM($E$84:$E$93))*$AC$114</f>
        <v>0</v>
      </c>
      <c r="AB123" s="320">
        <f>(SUM(AB$84:AB$93) /SUM($E$84:$E$93))*$AC$114</f>
        <v>0</v>
      </c>
    </row>
    <row r="124" spans="1:29" outlineLevel="2" x14ac:dyDescent="0.25">
      <c r="A124" s="672" t="s">
        <v>76</v>
      </c>
      <c r="B124" s="673" t="s">
        <v>77</v>
      </c>
      <c r="C124" s="673">
        <v>637001</v>
      </c>
      <c r="D124" s="79" t="s">
        <v>26</v>
      </c>
      <c r="E124" s="84">
        <f t="shared" si="13"/>
        <v>0</v>
      </c>
      <c r="F124" s="132"/>
      <c r="G124" s="132"/>
      <c r="H124" s="132"/>
      <c r="I124" s="133"/>
      <c r="J124" s="319"/>
      <c r="K124" s="319"/>
      <c r="L124" s="319"/>
      <c r="M124" s="319"/>
      <c r="N124" s="319"/>
      <c r="O124" s="319"/>
      <c r="P124" s="319"/>
      <c r="Q124" s="319"/>
      <c r="R124" s="319"/>
      <c r="S124" s="319"/>
      <c r="T124" s="319"/>
      <c r="U124" s="319"/>
      <c r="V124" s="319"/>
      <c r="W124" s="319"/>
      <c r="X124" s="319"/>
      <c r="Y124" s="319"/>
      <c r="Z124" s="319"/>
      <c r="AA124" s="319"/>
      <c r="AB124" s="319"/>
    </row>
    <row r="125" spans="1:29" outlineLevel="2" x14ac:dyDescent="0.25">
      <c r="A125" s="672"/>
      <c r="B125" s="673"/>
      <c r="C125" s="673"/>
      <c r="D125" s="80" t="s">
        <v>27</v>
      </c>
      <c r="E125" s="84">
        <f t="shared" si="13"/>
        <v>0</v>
      </c>
      <c r="F125" s="134"/>
      <c r="G125" s="134"/>
      <c r="H125" s="134"/>
      <c r="I125" s="135"/>
      <c r="J125" s="320"/>
      <c r="K125" s="320"/>
      <c r="L125" s="320"/>
      <c r="M125" s="320"/>
      <c r="N125" s="320"/>
      <c r="O125" s="320"/>
      <c r="P125" s="320"/>
      <c r="Q125" s="320"/>
      <c r="R125" s="320"/>
      <c r="S125" s="320"/>
      <c r="T125" s="320"/>
      <c r="U125" s="320"/>
      <c r="V125" s="320"/>
      <c r="W125" s="320"/>
      <c r="X125" s="320"/>
      <c r="Y125" s="320"/>
      <c r="Z125" s="320"/>
      <c r="AA125" s="320"/>
      <c r="AB125" s="320"/>
    </row>
    <row r="126" spans="1:29" outlineLevel="2" x14ac:dyDescent="0.25">
      <c r="A126" s="672"/>
      <c r="B126" s="673"/>
      <c r="C126" s="673"/>
      <c r="D126" s="80" t="s">
        <v>28</v>
      </c>
      <c r="E126" s="84">
        <f t="shared" si="13"/>
        <v>0</v>
      </c>
      <c r="F126" s="134"/>
      <c r="G126" s="134"/>
      <c r="H126" s="134"/>
      <c r="I126" s="135"/>
      <c r="J126" s="320"/>
      <c r="K126" s="320"/>
      <c r="L126" s="320"/>
      <c r="M126" s="320"/>
      <c r="N126" s="320"/>
      <c r="O126" s="320"/>
      <c r="P126" s="320"/>
      <c r="Q126" s="320"/>
      <c r="R126" s="320"/>
      <c r="S126" s="320"/>
      <c r="T126" s="320"/>
      <c r="U126" s="320"/>
      <c r="V126" s="320"/>
      <c r="W126" s="320"/>
      <c r="X126" s="320"/>
      <c r="Y126" s="320"/>
      <c r="Z126" s="320"/>
      <c r="AA126" s="320"/>
      <c r="AB126" s="320"/>
    </row>
    <row r="127" spans="1:29" outlineLevel="2" x14ac:dyDescent="0.25">
      <c r="A127" s="672"/>
      <c r="B127" s="673"/>
      <c r="C127" s="673"/>
      <c r="D127" s="80" t="s">
        <v>29</v>
      </c>
      <c r="E127" s="84">
        <f t="shared" si="13"/>
        <v>0</v>
      </c>
      <c r="F127" s="134"/>
      <c r="G127" s="134"/>
      <c r="H127" s="134"/>
      <c r="I127" s="135"/>
      <c r="J127" s="320"/>
      <c r="K127" s="320"/>
      <c r="L127" s="320"/>
      <c r="M127" s="320"/>
      <c r="N127" s="320"/>
      <c r="O127" s="320"/>
      <c r="P127" s="320"/>
      <c r="Q127" s="320"/>
      <c r="R127" s="320"/>
      <c r="S127" s="320"/>
      <c r="T127" s="320"/>
      <c r="U127" s="320"/>
      <c r="V127" s="320"/>
      <c r="W127" s="320"/>
      <c r="X127" s="320"/>
      <c r="Y127" s="320"/>
      <c r="Z127" s="320"/>
      <c r="AA127" s="320"/>
      <c r="AB127" s="320"/>
    </row>
    <row r="128" spans="1:29" outlineLevel="2" x14ac:dyDescent="0.25">
      <c r="A128" s="672"/>
      <c r="B128" s="673"/>
      <c r="C128" s="673"/>
      <c r="D128" s="80" t="s">
        <v>30</v>
      </c>
      <c r="E128" s="84">
        <f t="shared" si="13"/>
        <v>0</v>
      </c>
      <c r="F128" s="134"/>
      <c r="G128" s="134"/>
      <c r="H128" s="134"/>
      <c r="I128" s="135"/>
      <c r="J128" s="320"/>
      <c r="K128" s="320"/>
      <c r="L128" s="320"/>
      <c r="M128" s="320"/>
      <c r="N128" s="320"/>
      <c r="O128" s="320"/>
      <c r="P128" s="320"/>
      <c r="Q128" s="320"/>
      <c r="R128" s="320"/>
      <c r="S128" s="320"/>
      <c r="T128" s="320"/>
      <c r="U128" s="320"/>
      <c r="V128" s="320"/>
      <c r="W128" s="320"/>
      <c r="X128" s="320"/>
      <c r="Y128" s="320"/>
      <c r="Z128" s="320"/>
      <c r="AA128" s="320"/>
      <c r="AB128" s="320"/>
    </row>
    <row r="129" spans="1:28" outlineLevel="2" x14ac:dyDescent="0.25">
      <c r="A129" s="672"/>
      <c r="B129" s="673"/>
      <c r="C129" s="673"/>
      <c r="D129" s="80" t="s">
        <v>31</v>
      </c>
      <c r="E129" s="84">
        <f t="shared" si="13"/>
        <v>0</v>
      </c>
      <c r="F129" s="134"/>
      <c r="G129" s="134"/>
      <c r="H129" s="134"/>
      <c r="I129" s="135"/>
      <c r="J129" s="320"/>
      <c r="K129" s="320"/>
      <c r="L129" s="320"/>
      <c r="M129" s="320"/>
      <c r="N129" s="320"/>
      <c r="O129" s="320"/>
      <c r="P129" s="320"/>
      <c r="Q129" s="320"/>
      <c r="R129" s="320"/>
      <c r="S129" s="320"/>
      <c r="T129" s="320"/>
      <c r="U129" s="320"/>
      <c r="V129" s="320"/>
      <c r="W129" s="320"/>
      <c r="X129" s="320"/>
      <c r="Y129" s="320"/>
      <c r="Z129" s="320"/>
      <c r="AA129" s="320"/>
      <c r="AB129" s="320"/>
    </row>
    <row r="130" spans="1:28" outlineLevel="2" x14ac:dyDescent="0.25">
      <c r="A130" s="672"/>
      <c r="B130" s="673"/>
      <c r="C130" s="673"/>
      <c r="D130" s="80" t="s">
        <v>32</v>
      </c>
      <c r="E130" s="84">
        <f t="shared" si="13"/>
        <v>0</v>
      </c>
      <c r="F130" s="134"/>
      <c r="G130" s="134"/>
      <c r="H130" s="134"/>
      <c r="I130" s="135"/>
      <c r="J130" s="320"/>
      <c r="K130" s="320"/>
      <c r="L130" s="320"/>
      <c r="M130" s="320"/>
      <c r="N130" s="320"/>
      <c r="O130" s="320"/>
      <c r="P130" s="320"/>
      <c r="Q130" s="320"/>
      <c r="R130" s="320"/>
      <c r="S130" s="320"/>
      <c r="T130" s="320"/>
      <c r="U130" s="320"/>
      <c r="V130" s="320"/>
      <c r="W130" s="320"/>
      <c r="X130" s="320"/>
      <c r="Y130" s="320"/>
      <c r="Z130" s="320"/>
      <c r="AA130" s="320"/>
      <c r="AB130" s="320"/>
    </row>
    <row r="131" spans="1:28" outlineLevel="2" x14ac:dyDescent="0.25">
      <c r="A131" s="672"/>
      <c r="B131" s="673"/>
      <c r="C131" s="673"/>
      <c r="D131" s="80" t="s">
        <v>33</v>
      </c>
      <c r="E131" s="84">
        <f t="shared" si="13"/>
        <v>0</v>
      </c>
      <c r="F131" s="134"/>
      <c r="G131" s="134"/>
      <c r="H131" s="134"/>
      <c r="I131" s="135"/>
      <c r="J131" s="320"/>
      <c r="K131" s="320"/>
      <c r="L131" s="320"/>
      <c r="M131" s="320"/>
      <c r="N131" s="320"/>
      <c r="O131" s="320"/>
      <c r="P131" s="320"/>
      <c r="Q131" s="320"/>
      <c r="R131" s="320"/>
      <c r="S131" s="320"/>
      <c r="T131" s="320"/>
      <c r="U131" s="320"/>
      <c r="V131" s="320"/>
      <c r="W131" s="320"/>
      <c r="X131" s="320"/>
      <c r="Y131" s="320"/>
      <c r="Z131" s="320"/>
      <c r="AA131" s="320"/>
      <c r="AB131" s="320"/>
    </row>
    <row r="132" spans="1:28" outlineLevel="2" x14ac:dyDescent="0.25">
      <c r="A132" s="672"/>
      <c r="B132" s="673"/>
      <c r="C132" s="673"/>
      <c r="D132" s="80" t="s">
        <v>34</v>
      </c>
      <c r="E132" s="84">
        <f t="shared" si="13"/>
        <v>0</v>
      </c>
      <c r="F132" s="134"/>
      <c r="G132" s="134"/>
      <c r="H132" s="134"/>
      <c r="I132" s="135"/>
      <c r="J132" s="320"/>
      <c r="K132" s="320"/>
      <c r="L132" s="320"/>
      <c r="M132" s="320"/>
      <c r="N132" s="320"/>
      <c r="O132" s="320"/>
      <c r="P132" s="320"/>
      <c r="Q132" s="320"/>
      <c r="R132" s="320"/>
      <c r="S132" s="320"/>
      <c r="T132" s="320"/>
      <c r="U132" s="320"/>
      <c r="V132" s="320"/>
      <c r="W132" s="320"/>
      <c r="X132" s="320"/>
      <c r="Y132" s="320"/>
      <c r="Z132" s="320"/>
      <c r="AA132" s="320"/>
      <c r="AB132" s="320"/>
    </row>
    <row r="133" spans="1:28" ht="15.75" outlineLevel="2" thickBot="1" x14ac:dyDescent="0.3">
      <c r="A133" s="672"/>
      <c r="B133" s="673"/>
      <c r="C133" s="673"/>
      <c r="D133" s="81" t="s">
        <v>35</v>
      </c>
      <c r="E133" s="85">
        <f t="shared" si="13"/>
        <v>0</v>
      </c>
      <c r="F133" s="136"/>
      <c r="G133" s="136"/>
      <c r="H133" s="136"/>
      <c r="I133" s="137"/>
      <c r="J133" s="321"/>
      <c r="K133" s="321"/>
      <c r="L133" s="321"/>
      <c r="M133" s="321"/>
      <c r="N133" s="321"/>
      <c r="O133" s="321"/>
      <c r="P133" s="321"/>
      <c r="Q133" s="321"/>
      <c r="R133" s="321"/>
      <c r="S133" s="321"/>
      <c r="T133" s="321"/>
      <c r="U133" s="321"/>
      <c r="V133" s="321"/>
      <c r="W133" s="321"/>
      <c r="X133" s="321"/>
      <c r="Y133" s="321"/>
      <c r="Z133" s="321"/>
      <c r="AA133" s="321"/>
      <c r="AB133" s="321"/>
    </row>
  </sheetData>
  <mergeCells count="39">
    <mergeCell ref="A114:A123"/>
    <mergeCell ref="B114:B123"/>
    <mergeCell ref="C114:C123"/>
    <mergeCell ref="A124:A133"/>
    <mergeCell ref="B124:B133"/>
    <mergeCell ref="C124:C133"/>
    <mergeCell ref="A94:A103"/>
    <mergeCell ref="B94:B103"/>
    <mergeCell ref="C94:C103"/>
    <mergeCell ref="A104:A113"/>
    <mergeCell ref="B104:B113"/>
    <mergeCell ref="C104:C113"/>
    <mergeCell ref="A73:A82"/>
    <mergeCell ref="B73:B82"/>
    <mergeCell ref="C73:C82"/>
    <mergeCell ref="A84:A93"/>
    <mergeCell ref="B84:B93"/>
    <mergeCell ref="C84:C93"/>
    <mergeCell ref="A46:A55"/>
    <mergeCell ref="B46:B55"/>
    <mergeCell ref="C46:C55"/>
    <mergeCell ref="A61:C61"/>
    <mergeCell ref="A63:A72"/>
    <mergeCell ref="B63:B72"/>
    <mergeCell ref="C63:C72"/>
    <mergeCell ref="A26:A35"/>
    <mergeCell ref="B26:B35"/>
    <mergeCell ref="C26:C35"/>
    <mergeCell ref="A36:A45"/>
    <mergeCell ref="B36:B45"/>
    <mergeCell ref="C36:C45"/>
    <mergeCell ref="A15:A24"/>
    <mergeCell ref="B15:B24"/>
    <mergeCell ref="C15:C24"/>
    <mergeCell ref="A1:D1"/>
    <mergeCell ref="A3:C3"/>
    <mergeCell ref="A5:A14"/>
    <mergeCell ref="B5:B14"/>
    <mergeCell ref="C5:C1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84"/>
  <sheetViews>
    <sheetView zoomScale="85" zoomScaleNormal="85" workbookViewId="0">
      <selection activeCell="AA1" sqref="AA1"/>
    </sheetView>
  </sheetViews>
  <sheetFormatPr defaultColWidth="10.140625" defaultRowHeight="15" outlineLevelRow="1" outlineLevelCol="1" x14ac:dyDescent="0.25"/>
  <cols>
    <col min="1" max="1" width="55.42578125" bestFit="1" customWidth="1"/>
    <col min="2" max="2" width="24.140625" bestFit="1" customWidth="1"/>
    <col min="3" max="3" width="20" bestFit="1" customWidth="1"/>
    <col min="4" max="4" width="8.85546875" bestFit="1" customWidth="1"/>
    <col min="5" max="5" width="7.7109375" bestFit="1" customWidth="1"/>
    <col min="6" max="6" width="16" customWidth="1" outlineLevel="1"/>
    <col min="7" max="7" width="19.140625" customWidth="1"/>
    <col min="8" max="8" width="27.42578125" customWidth="1"/>
    <col min="9" max="9" width="13.5703125" customWidth="1"/>
    <col min="10" max="10" width="17" customWidth="1"/>
    <col min="11" max="11" width="10" bestFit="1" customWidth="1"/>
    <col min="12" max="12" width="16.42578125" customWidth="1"/>
    <col min="13" max="13" width="6.140625" bestFit="1" customWidth="1"/>
    <col min="14" max="14" width="12.42578125" customWidth="1"/>
    <col min="15" max="15" width="18" customWidth="1"/>
    <col min="16" max="16" width="13" customWidth="1"/>
    <col min="18" max="18" width="6.5703125" bestFit="1" customWidth="1"/>
    <col min="19" max="19" width="14.7109375" bestFit="1" customWidth="1"/>
    <col min="20" max="20" width="8.7109375" bestFit="1" customWidth="1"/>
    <col min="21" max="21" width="10" bestFit="1" customWidth="1"/>
    <col min="22" max="22" width="13.42578125" bestFit="1" customWidth="1"/>
    <col min="23" max="24" width="9.85546875" bestFit="1" customWidth="1"/>
    <col min="25" max="25" width="13.85546875" bestFit="1" customWidth="1"/>
    <col min="26" max="26" width="15" customWidth="1"/>
  </cols>
  <sheetData>
    <row r="1" spans="1:26" ht="48.75" customHeight="1" thickBot="1" x14ac:dyDescent="0.4">
      <c r="A1" s="676" t="s">
        <v>97</v>
      </c>
      <c r="B1" s="676"/>
      <c r="C1" s="676"/>
      <c r="D1" s="677"/>
      <c r="E1" s="82" t="s">
        <v>36</v>
      </c>
      <c r="F1" s="447" t="s">
        <v>270</v>
      </c>
      <c r="G1" s="447" t="s">
        <v>337</v>
      </c>
      <c r="H1" s="447" t="s">
        <v>338</v>
      </c>
      <c r="I1" s="447" t="s">
        <v>336</v>
      </c>
      <c r="J1" s="447" t="s">
        <v>339</v>
      </c>
      <c r="K1" s="447" t="s">
        <v>340</v>
      </c>
      <c r="L1" s="447" t="s">
        <v>341</v>
      </c>
      <c r="M1" s="447" t="s">
        <v>342</v>
      </c>
      <c r="N1" s="447" t="s">
        <v>343</v>
      </c>
      <c r="O1" s="447" t="s">
        <v>344</v>
      </c>
      <c r="P1" s="447" t="s">
        <v>345</v>
      </c>
      <c r="Q1" s="447"/>
      <c r="R1" s="447" t="s">
        <v>346</v>
      </c>
      <c r="S1" s="447" t="s">
        <v>347</v>
      </c>
      <c r="T1" s="447" t="s">
        <v>348</v>
      </c>
      <c r="U1" s="447" t="s">
        <v>349</v>
      </c>
      <c r="V1" s="447" t="s">
        <v>350</v>
      </c>
      <c r="W1" s="447" t="s">
        <v>351</v>
      </c>
      <c r="X1" s="447" t="s">
        <v>352</v>
      </c>
      <c r="Y1" s="447" t="s">
        <v>353</v>
      </c>
      <c r="Z1" s="447" t="s">
        <v>354</v>
      </c>
    </row>
    <row r="2" spans="1:26" ht="15.75" thickBot="1" x14ac:dyDescent="0.3">
      <c r="A2" s="52" t="s">
        <v>0</v>
      </c>
      <c r="B2" s="87" t="s">
        <v>74</v>
      </c>
      <c r="C2" s="87" t="s">
        <v>73</v>
      </c>
      <c r="D2" s="87" t="s">
        <v>22</v>
      </c>
      <c r="E2" s="25"/>
      <c r="F2" s="25"/>
      <c r="G2" s="25"/>
      <c r="H2" s="25"/>
      <c r="I2" s="25"/>
      <c r="J2" s="25"/>
      <c r="K2" s="25"/>
      <c r="L2" s="25"/>
      <c r="M2" s="25"/>
      <c r="N2" s="25"/>
      <c r="O2" s="25"/>
      <c r="P2" s="25"/>
      <c r="Q2" s="25"/>
      <c r="R2" s="25"/>
      <c r="S2" s="25"/>
      <c r="T2" s="25"/>
      <c r="U2" s="25"/>
      <c r="V2" s="25"/>
      <c r="W2" s="25"/>
      <c r="X2" s="25"/>
      <c r="Y2" s="25"/>
      <c r="Z2" s="25"/>
    </row>
    <row r="3" spans="1:26" ht="15.75" collapsed="1" thickBot="1" x14ac:dyDescent="0.3">
      <c r="A3" s="681" t="s">
        <v>87</v>
      </c>
      <c r="B3" s="681"/>
      <c r="C3" s="681"/>
      <c r="D3" s="86"/>
      <c r="E3" s="89">
        <f>SUM(E4:E33)</f>
        <v>0</v>
      </c>
      <c r="F3" s="90">
        <f>SUM(F4:F33)</f>
        <v>0</v>
      </c>
      <c r="G3" s="90"/>
      <c r="H3" s="90"/>
      <c r="I3" s="90"/>
      <c r="J3" s="90"/>
      <c r="K3" s="90"/>
      <c r="L3" s="90"/>
      <c r="M3" s="90"/>
      <c r="N3" s="90"/>
      <c r="O3" s="90"/>
      <c r="P3" s="90"/>
      <c r="Q3" s="90"/>
      <c r="R3" s="90"/>
      <c r="S3" s="90"/>
      <c r="T3" s="90"/>
      <c r="U3" s="90"/>
      <c r="V3" s="90"/>
      <c r="W3" s="90"/>
      <c r="X3" s="90"/>
      <c r="Y3" s="90"/>
      <c r="Z3" s="90"/>
    </row>
    <row r="4" spans="1:26" hidden="1" outlineLevel="1" x14ac:dyDescent="0.25">
      <c r="A4" s="672" t="s">
        <v>89</v>
      </c>
      <c r="B4" s="672" t="s">
        <v>92</v>
      </c>
      <c r="C4" s="673">
        <v>713002</v>
      </c>
      <c r="D4" s="79" t="s">
        <v>26</v>
      </c>
      <c r="E4" s="84">
        <f t="shared" ref="E4:E33" si="0">SUM(F4:Z4)</f>
        <v>0</v>
      </c>
      <c r="F4" s="132"/>
      <c r="G4" s="132"/>
      <c r="H4" s="132"/>
      <c r="I4" s="132"/>
      <c r="J4" s="132"/>
      <c r="K4" s="132"/>
      <c r="L4" s="132"/>
      <c r="M4" s="132"/>
      <c r="N4" s="132"/>
      <c r="O4" s="132"/>
      <c r="P4" s="132"/>
      <c r="Q4" s="132"/>
      <c r="R4" s="132"/>
      <c r="S4" s="132"/>
      <c r="T4" s="132"/>
      <c r="U4" s="132"/>
      <c r="V4" s="132"/>
      <c r="W4" s="132"/>
      <c r="X4" s="132"/>
      <c r="Y4" s="132"/>
      <c r="Z4" s="132"/>
    </row>
    <row r="5" spans="1:26" hidden="1" outlineLevel="1" x14ac:dyDescent="0.25">
      <c r="A5" s="672"/>
      <c r="B5" s="673"/>
      <c r="C5" s="673"/>
      <c r="D5" s="80" t="s">
        <v>27</v>
      </c>
      <c r="E5" s="84">
        <f t="shared" si="0"/>
        <v>0</v>
      </c>
      <c r="F5" s="135"/>
      <c r="G5" s="135"/>
      <c r="H5" s="135"/>
      <c r="I5" s="135"/>
      <c r="J5" s="135"/>
      <c r="K5" s="135"/>
      <c r="L5" s="135"/>
      <c r="M5" s="135"/>
      <c r="N5" s="135"/>
      <c r="O5" s="135"/>
      <c r="P5" s="135"/>
      <c r="Q5" s="135"/>
      <c r="R5" s="135"/>
      <c r="S5" s="135"/>
      <c r="T5" s="135"/>
      <c r="U5" s="135"/>
      <c r="V5" s="135"/>
      <c r="W5" s="135"/>
      <c r="X5" s="135"/>
      <c r="Y5" s="135"/>
      <c r="Z5" s="135"/>
    </row>
    <row r="6" spans="1:26" hidden="1" outlineLevel="1" x14ac:dyDescent="0.25">
      <c r="A6" s="672"/>
      <c r="B6" s="673"/>
      <c r="C6" s="673"/>
      <c r="D6" s="80" t="s">
        <v>28</v>
      </c>
      <c r="E6" s="84">
        <f t="shared" si="0"/>
        <v>0</v>
      </c>
      <c r="F6" s="134"/>
      <c r="G6" s="134"/>
      <c r="H6" s="134"/>
      <c r="I6" s="134"/>
      <c r="J6" s="134"/>
      <c r="K6" s="134"/>
      <c r="L6" s="134"/>
      <c r="M6" s="134"/>
      <c r="N6" s="134"/>
      <c r="O6" s="134"/>
      <c r="P6" s="134"/>
      <c r="Q6" s="134"/>
      <c r="R6" s="134"/>
      <c r="S6" s="134"/>
      <c r="T6" s="134"/>
      <c r="U6" s="134"/>
      <c r="V6" s="134"/>
      <c r="W6" s="134"/>
      <c r="X6" s="134"/>
      <c r="Y6" s="134"/>
      <c r="Z6" s="134"/>
    </row>
    <row r="7" spans="1:26" hidden="1" outlineLevel="1" x14ac:dyDescent="0.25">
      <c r="A7" s="672"/>
      <c r="B7" s="673"/>
      <c r="C7" s="673"/>
      <c r="D7" s="80" t="s">
        <v>29</v>
      </c>
      <c r="E7" s="84">
        <f t="shared" si="0"/>
        <v>0</v>
      </c>
      <c r="F7" s="134"/>
      <c r="G7" s="134"/>
      <c r="H7" s="134"/>
      <c r="I7" s="134"/>
      <c r="J7" s="134"/>
      <c r="K7" s="134"/>
      <c r="L7" s="134"/>
      <c r="M7" s="134"/>
      <c r="N7" s="134"/>
      <c r="O7" s="134"/>
      <c r="P7" s="134"/>
      <c r="Q7" s="134"/>
      <c r="R7" s="134"/>
      <c r="S7" s="134"/>
      <c r="T7" s="134"/>
      <c r="U7" s="134"/>
      <c r="V7" s="134"/>
      <c r="W7" s="134"/>
      <c r="X7" s="134"/>
      <c r="Y7" s="134"/>
      <c r="Z7" s="134"/>
    </row>
    <row r="8" spans="1:26" hidden="1" outlineLevel="1" x14ac:dyDescent="0.25">
      <c r="A8" s="672"/>
      <c r="B8" s="673"/>
      <c r="C8" s="673"/>
      <c r="D8" s="80" t="s">
        <v>30</v>
      </c>
      <c r="E8" s="84">
        <f t="shared" si="0"/>
        <v>0</v>
      </c>
      <c r="F8" s="134"/>
      <c r="G8" s="134"/>
      <c r="H8" s="134"/>
      <c r="I8" s="134"/>
      <c r="J8" s="134"/>
      <c r="K8" s="134"/>
      <c r="L8" s="134"/>
      <c r="M8" s="134"/>
      <c r="N8" s="134"/>
      <c r="O8" s="134"/>
      <c r="P8" s="134"/>
      <c r="Q8" s="134"/>
      <c r="R8" s="134"/>
      <c r="S8" s="134"/>
      <c r="T8" s="134"/>
      <c r="U8" s="134"/>
      <c r="V8" s="134"/>
      <c r="W8" s="134"/>
      <c r="X8" s="134"/>
      <c r="Y8" s="134"/>
      <c r="Z8" s="134"/>
    </row>
    <row r="9" spans="1:26" hidden="1" outlineLevel="1" x14ac:dyDescent="0.25">
      <c r="A9" s="672"/>
      <c r="B9" s="673"/>
      <c r="C9" s="673"/>
      <c r="D9" s="80" t="s">
        <v>31</v>
      </c>
      <c r="E9" s="84">
        <f t="shared" si="0"/>
        <v>0</v>
      </c>
      <c r="F9" s="134"/>
      <c r="G9" s="134"/>
      <c r="H9" s="134"/>
      <c r="I9" s="134"/>
      <c r="J9" s="134"/>
      <c r="K9" s="134"/>
      <c r="L9" s="134"/>
      <c r="M9" s="134"/>
      <c r="N9" s="134"/>
      <c r="O9" s="134"/>
      <c r="P9" s="134"/>
      <c r="Q9" s="134"/>
      <c r="R9" s="134"/>
      <c r="S9" s="134"/>
      <c r="T9" s="134"/>
      <c r="U9" s="134"/>
      <c r="V9" s="134"/>
      <c r="W9" s="134"/>
      <c r="X9" s="134"/>
      <c r="Y9" s="134"/>
      <c r="Z9" s="134"/>
    </row>
    <row r="10" spans="1:26" hidden="1" outlineLevel="1" x14ac:dyDescent="0.25">
      <c r="A10" s="672"/>
      <c r="B10" s="673"/>
      <c r="C10" s="673"/>
      <c r="D10" s="80" t="s">
        <v>32</v>
      </c>
      <c r="E10" s="84">
        <f t="shared" si="0"/>
        <v>0</v>
      </c>
      <c r="F10" s="134"/>
      <c r="G10" s="134"/>
      <c r="H10" s="134"/>
      <c r="I10" s="134"/>
      <c r="J10" s="134"/>
      <c r="K10" s="134"/>
      <c r="L10" s="134"/>
      <c r="M10" s="134"/>
      <c r="N10" s="134"/>
      <c r="O10" s="134"/>
      <c r="P10" s="134"/>
      <c r="Q10" s="134"/>
      <c r="R10" s="134"/>
      <c r="S10" s="134"/>
      <c r="T10" s="134"/>
      <c r="U10" s="134"/>
      <c r="V10" s="134"/>
      <c r="W10" s="134"/>
      <c r="X10" s="134"/>
      <c r="Y10" s="134"/>
      <c r="Z10" s="134"/>
    </row>
    <row r="11" spans="1:26" hidden="1" outlineLevel="1" x14ac:dyDescent="0.25">
      <c r="A11" s="672"/>
      <c r="B11" s="673"/>
      <c r="C11" s="673"/>
      <c r="D11" s="80" t="s">
        <v>33</v>
      </c>
      <c r="E11" s="84">
        <f t="shared" si="0"/>
        <v>0</v>
      </c>
      <c r="F11" s="134"/>
      <c r="G11" s="134"/>
      <c r="H11" s="134"/>
      <c r="I11" s="134"/>
      <c r="J11" s="134"/>
      <c r="K11" s="134"/>
      <c r="L11" s="134"/>
      <c r="M11" s="134"/>
      <c r="N11" s="134"/>
      <c r="O11" s="134"/>
      <c r="P11" s="134"/>
      <c r="Q11" s="134"/>
      <c r="R11" s="134"/>
      <c r="S11" s="134"/>
      <c r="T11" s="134"/>
      <c r="U11" s="134"/>
      <c r="V11" s="134"/>
      <c r="W11" s="134"/>
      <c r="X11" s="134"/>
      <c r="Y11" s="134"/>
      <c r="Z11" s="134"/>
    </row>
    <row r="12" spans="1:26" hidden="1" outlineLevel="1" x14ac:dyDescent="0.25">
      <c r="A12" s="672"/>
      <c r="B12" s="673"/>
      <c r="C12" s="673"/>
      <c r="D12" s="80" t="s">
        <v>34</v>
      </c>
      <c r="E12" s="84">
        <f t="shared" si="0"/>
        <v>0</v>
      </c>
      <c r="F12" s="134"/>
      <c r="G12" s="134"/>
      <c r="H12" s="134"/>
      <c r="I12" s="134"/>
      <c r="J12" s="134"/>
      <c r="K12" s="134"/>
      <c r="L12" s="134"/>
      <c r="M12" s="134"/>
      <c r="N12" s="134"/>
      <c r="O12" s="134"/>
      <c r="P12" s="134"/>
      <c r="Q12" s="134"/>
      <c r="R12" s="134"/>
      <c r="S12" s="134"/>
      <c r="T12" s="134"/>
      <c r="U12" s="134"/>
      <c r="V12" s="134"/>
      <c r="W12" s="134"/>
      <c r="X12" s="134"/>
      <c r="Y12" s="134"/>
      <c r="Z12" s="134"/>
    </row>
    <row r="13" spans="1:26" ht="15.75" hidden="1" outlineLevel="1" thickBot="1" x14ac:dyDescent="0.3">
      <c r="A13" s="672"/>
      <c r="B13" s="673"/>
      <c r="C13" s="673"/>
      <c r="D13" s="81" t="s">
        <v>35</v>
      </c>
      <c r="E13" s="85">
        <f t="shared" si="0"/>
        <v>0</v>
      </c>
      <c r="F13" s="136"/>
      <c r="G13" s="136"/>
      <c r="H13" s="136"/>
      <c r="I13" s="136"/>
      <c r="J13" s="136"/>
      <c r="K13" s="136"/>
      <c r="L13" s="136"/>
      <c r="M13" s="136"/>
      <c r="N13" s="136"/>
      <c r="O13" s="136"/>
      <c r="P13" s="136"/>
      <c r="Q13" s="136"/>
      <c r="R13" s="136"/>
      <c r="S13" s="136"/>
      <c r="T13" s="136"/>
      <c r="U13" s="136"/>
      <c r="V13" s="136"/>
      <c r="W13" s="136"/>
      <c r="X13" s="136"/>
      <c r="Y13" s="136"/>
      <c r="Z13" s="136"/>
    </row>
    <row r="14" spans="1:26" ht="15" hidden="1" customHeight="1" outlineLevel="1" x14ac:dyDescent="0.25">
      <c r="A14" s="672" t="s">
        <v>90</v>
      </c>
      <c r="B14" s="672" t="s">
        <v>114</v>
      </c>
      <c r="C14" s="673">
        <v>633002</v>
      </c>
      <c r="D14" s="79" t="s">
        <v>26</v>
      </c>
      <c r="E14" s="84">
        <f t="shared" si="0"/>
        <v>0</v>
      </c>
      <c r="F14" s="132"/>
      <c r="G14" s="132"/>
      <c r="H14" s="132"/>
      <c r="I14" s="132"/>
      <c r="J14" s="132"/>
      <c r="K14" s="132"/>
      <c r="L14" s="132"/>
      <c r="M14" s="132"/>
      <c r="N14" s="132"/>
      <c r="O14" s="132"/>
      <c r="P14" s="132"/>
      <c r="Q14" s="132"/>
      <c r="R14" s="132"/>
      <c r="S14" s="132"/>
      <c r="T14" s="132"/>
      <c r="U14" s="132"/>
      <c r="V14" s="132"/>
      <c r="W14" s="132"/>
      <c r="X14" s="132"/>
      <c r="Y14" s="132"/>
      <c r="Z14" s="132"/>
    </row>
    <row r="15" spans="1:26" hidden="1" outlineLevel="1" x14ac:dyDescent="0.25">
      <c r="A15" s="672"/>
      <c r="B15" s="673"/>
      <c r="C15" s="673"/>
      <c r="D15" s="80" t="s">
        <v>27</v>
      </c>
      <c r="E15" s="84">
        <f t="shared" si="0"/>
        <v>0</v>
      </c>
      <c r="F15" s="134"/>
      <c r="G15" s="134"/>
      <c r="H15" s="134"/>
      <c r="I15" s="134"/>
      <c r="J15" s="134"/>
      <c r="K15" s="134"/>
      <c r="L15" s="134"/>
      <c r="M15" s="134"/>
      <c r="N15" s="134"/>
      <c r="O15" s="134"/>
      <c r="P15" s="134"/>
      <c r="Q15" s="134"/>
      <c r="R15" s="134"/>
      <c r="S15" s="134"/>
      <c r="T15" s="134"/>
      <c r="U15" s="134"/>
      <c r="V15" s="134"/>
      <c r="W15" s="134"/>
      <c r="X15" s="134"/>
      <c r="Y15" s="134"/>
      <c r="Z15" s="134"/>
    </row>
    <row r="16" spans="1:26" hidden="1" outlineLevel="1" x14ac:dyDescent="0.25">
      <c r="A16" s="672"/>
      <c r="B16" s="673"/>
      <c r="C16" s="673"/>
      <c r="D16" s="80" t="s">
        <v>28</v>
      </c>
      <c r="E16" s="84">
        <f t="shared" si="0"/>
        <v>0</v>
      </c>
      <c r="F16" s="134"/>
      <c r="G16" s="134"/>
      <c r="H16" s="134"/>
      <c r="I16" s="134"/>
      <c r="J16" s="134"/>
      <c r="K16" s="134"/>
      <c r="L16" s="134"/>
      <c r="M16" s="134"/>
      <c r="N16" s="134"/>
      <c r="O16" s="134"/>
      <c r="P16" s="134"/>
      <c r="Q16" s="134"/>
      <c r="R16" s="134"/>
      <c r="S16" s="134"/>
      <c r="T16" s="134"/>
      <c r="U16" s="134"/>
      <c r="V16" s="134"/>
      <c r="W16" s="134"/>
      <c r="X16" s="134"/>
      <c r="Y16" s="134"/>
      <c r="Z16" s="134"/>
    </row>
    <row r="17" spans="1:26" hidden="1" outlineLevel="1" x14ac:dyDescent="0.25">
      <c r="A17" s="672"/>
      <c r="B17" s="673"/>
      <c r="C17" s="673"/>
      <c r="D17" s="80" t="s">
        <v>29</v>
      </c>
      <c r="E17" s="84">
        <f t="shared" si="0"/>
        <v>0</v>
      </c>
      <c r="F17" s="134"/>
      <c r="G17" s="134"/>
      <c r="H17" s="134"/>
      <c r="I17" s="134"/>
      <c r="J17" s="134"/>
      <c r="K17" s="134"/>
      <c r="L17" s="134"/>
      <c r="M17" s="134"/>
      <c r="N17" s="134"/>
      <c r="O17" s="134"/>
      <c r="P17" s="134"/>
      <c r="Q17" s="134"/>
      <c r="R17" s="134"/>
      <c r="S17" s="134"/>
      <c r="T17" s="134"/>
      <c r="U17" s="134"/>
      <c r="V17" s="134"/>
      <c r="W17" s="134"/>
      <c r="X17" s="134"/>
      <c r="Y17" s="134"/>
      <c r="Z17" s="134"/>
    </row>
    <row r="18" spans="1:26" hidden="1" outlineLevel="1" x14ac:dyDescent="0.25">
      <c r="A18" s="672"/>
      <c r="B18" s="673"/>
      <c r="C18" s="673"/>
      <c r="D18" s="80" t="s">
        <v>30</v>
      </c>
      <c r="E18" s="84">
        <f t="shared" si="0"/>
        <v>0</v>
      </c>
      <c r="F18" s="134"/>
      <c r="G18" s="134"/>
      <c r="H18" s="134"/>
      <c r="I18" s="134"/>
      <c r="J18" s="134"/>
      <c r="K18" s="134"/>
      <c r="L18" s="134"/>
      <c r="M18" s="134"/>
      <c r="N18" s="134"/>
      <c r="O18" s="134"/>
      <c r="P18" s="134"/>
      <c r="Q18" s="134"/>
      <c r="R18" s="134"/>
      <c r="S18" s="134"/>
      <c r="T18" s="134"/>
      <c r="U18" s="134"/>
      <c r="V18" s="134"/>
      <c r="W18" s="134"/>
      <c r="X18" s="134"/>
      <c r="Y18" s="134"/>
      <c r="Z18" s="134"/>
    </row>
    <row r="19" spans="1:26" hidden="1" outlineLevel="1" x14ac:dyDescent="0.25">
      <c r="A19" s="672"/>
      <c r="B19" s="673"/>
      <c r="C19" s="673"/>
      <c r="D19" s="80" t="s">
        <v>31</v>
      </c>
      <c r="E19" s="84">
        <f t="shared" si="0"/>
        <v>0</v>
      </c>
      <c r="F19" s="134"/>
      <c r="G19" s="134"/>
      <c r="H19" s="134"/>
      <c r="I19" s="134"/>
      <c r="J19" s="134"/>
      <c r="K19" s="134"/>
      <c r="L19" s="134"/>
      <c r="M19" s="134"/>
      <c r="N19" s="134"/>
      <c r="O19" s="134"/>
      <c r="P19" s="134"/>
      <c r="Q19" s="134"/>
      <c r="R19" s="134"/>
      <c r="S19" s="134"/>
      <c r="T19" s="134"/>
      <c r="U19" s="134"/>
      <c r="V19" s="134"/>
      <c r="W19" s="134"/>
      <c r="X19" s="134"/>
      <c r="Y19" s="134"/>
      <c r="Z19" s="134"/>
    </row>
    <row r="20" spans="1:26" hidden="1" outlineLevel="1" x14ac:dyDescent="0.25">
      <c r="A20" s="672"/>
      <c r="B20" s="673"/>
      <c r="C20" s="673"/>
      <c r="D20" s="80" t="s">
        <v>32</v>
      </c>
      <c r="E20" s="84">
        <f t="shared" si="0"/>
        <v>0</v>
      </c>
      <c r="F20" s="134"/>
      <c r="G20" s="134"/>
      <c r="H20" s="134"/>
      <c r="I20" s="134"/>
      <c r="J20" s="134"/>
      <c r="K20" s="134"/>
      <c r="L20" s="134"/>
      <c r="M20" s="134"/>
      <c r="N20" s="134"/>
      <c r="O20" s="134"/>
      <c r="P20" s="134"/>
      <c r="Q20" s="134"/>
      <c r="R20" s="134"/>
      <c r="S20" s="134"/>
      <c r="T20" s="134"/>
      <c r="U20" s="134"/>
      <c r="V20" s="134"/>
      <c r="W20" s="134"/>
      <c r="X20" s="134"/>
      <c r="Y20" s="134"/>
      <c r="Z20" s="134"/>
    </row>
    <row r="21" spans="1:26" hidden="1" outlineLevel="1" x14ac:dyDescent="0.25">
      <c r="A21" s="672"/>
      <c r="B21" s="673"/>
      <c r="C21" s="673"/>
      <c r="D21" s="80" t="s">
        <v>33</v>
      </c>
      <c r="E21" s="84">
        <f t="shared" si="0"/>
        <v>0</v>
      </c>
      <c r="F21" s="134"/>
      <c r="G21" s="134"/>
      <c r="H21" s="134"/>
      <c r="I21" s="134"/>
      <c r="J21" s="134"/>
      <c r="K21" s="134"/>
      <c r="L21" s="134"/>
      <c r="M21" s="134"/>
      <c r="N21" s="134"/>
      <c r="O21" s="134"/>
      <c r="P21" s="134"/>
      <c r="Q21" s="134"/>
      <c r="R21" s="134"/>
      <c r="S21" s="134"/>
      <c r="T21" s="134"/>
      <c r="U21" s="134"/>
      <c r="V21" s="134"/>
      <c r="W21" s="134"/>
      <c r="X21" s="134"/>
      <c r="Y21" s="134"/>
      <c r="Z21" s="134"/>
    </row>
    <row r="22" spans="1:26" hidden="1" outlineLevel="1" x14ac:dyDescent="0.25">
      <c r="A22" s="672"/>
      <c r="B22" s="673"/>
      <c r="C22" s="673"/>
      <c r="D22" s="80" t="s">
        <v>34</v>
      </c>
      <c r="E22" s="84">
        <f t="shared" si="0"/>
        <v>0</v>
      </c>
      <c r="F22" s="134"/>
      <c r="G22" s="134"/>
      <c r="H22" s="134"/>
      <c r="I22" s="134"/>
      <c r="J22" s="134"/>
      <c r="K22" s="134"/>
      <c r="L22" s="134"/>
      <c r="M22" s="134"/>
      <c r="N22" s="134"/>
      <c r="O22" s="134"/>
      <c r="P22" s="134"/>
      <c r="Q22" s="134"/>
      <c r="R22" s="134"/>
      <c r="S22" s="134"/>
      <c r="T22" s="134"/>
      <c r="U22" s="134"/>
      <c r="V22" s="134"/>
      <c r="W22" s="134"/>
      <c r="X22" s="134"/>
      <c r="Y22" s="134"/>
      <c r="Z22" s="134"/>
    </row>
    <row r="23" spans="1:26" ht="15.75" hidden="1" outlineLevel="1" thickBot="1" x14ac:dyDescent="0.3">
      <c r="A23" s="672"/>
      <c r="B23" s="673"/>
      <c r="C23" s="673"/>
      <c r="D23" s="81" t="s">
        <v>35</v>
      </c>
      <c r="E23" s="85">
        <f t="shared" si="0"/>
        <v>0</v>
      </c>
      <c r="F23" s="136"/>
      <c r="G23" s="136"/>
      <c r="H23" s="136"/>
      <c r="I23" s="136"/>
      <c r="J23" s="136"/>
      <c r="K23" s="136"/>
      <c r="L23" s="136"/>
      <c r="M23" s="136"/>
      <c r="N23" s="136"/>
      <c r="O23" s="136"/>
      <c r="P23" s="136"/>
      <c r="Q23" s="136"/>
      <c r="R23" s="136"/>
      <c r="S23" s="136"/>
      <c r="T23" s="136"/>
      <c r="U23" s="136"/>
      <c r="V23" s="136"/>
      <c r="W23" s="136"/>
      <c r="X23" s="136"/>
      <c r="Y23" s="136"/>
      <c r="Z23" s="136"/>
    </row>
    <row r="24" spans="1:26" hidden="1" outlineLevel="1" x14ac:dyDescent="0.25">
      <c r="A24" s="672" t="s">
        <v>91</v>
      </c>
      <c r="B24" s="673" t="s">
        <v>77</v>
      </c>
      <c r="C24" s="673">
        <v>637001</v>
      </c>
      <c r="D24" s="79" t="s">
        <v>26</v>
      </c>
      <c r="E24" s="84">
        <f t="shared" si="0"/>
        <v>0</v>
      </c>
      <c r="F24" s="132"/>
      <c r="G24" s="132"/>
      <c r="H24" s="132"/>
      <c r="I24" s="132"/>
      <c r="J24" s="132"/>
      <c r="K24" s="132"/>
      <c r="L24" s="132"/>
      <c r="M24" s="132"/>
      <c r="N24" s="132"/>
      <c r="O24" s="132"/>
      <c r="P24" s="132"/>
      <c r="Q24" s="132"/>
      <c r="R24" s="132"/>
      <c r="S24" s="132"/>
      <c r="T24" s="132"/>
      <c r="U24" s="132"/>
      <c r="V24" s="132"/>
      <c r="W24" s="132"/>
      <c r="X24" s="132"/>
      <c r="Y24" s="132"/>
      <c r="Z24" s="132"/>
    </row>
    <row r="25" spans="1:26" hidden="1" outlineLevel="1" x14ac:dyDescent="0.25">
      <c r="A25" s="672"/>
      <c r="B25" s="673"/>
      <c r="C25" s="673"/>
      <c r="D25" s="80" t="s">
        <v>27</v>
      </c>
      <c r="E25" s="84">
        <f t="shared" si="0"/>
        <v>0</v>
      </c>
      <c r="F25" s="134"/>
      <c r="G25" s="134"/>
      <c r="H25" s="134"/>
      <c r="I25" s="134"/>
      <c r="J25" s="134"/>
      <c r="K25" s="134"/>
      <c r="L25" s="134"/>
      <c r="M25" s="134"/>
      <c r="N25" s="134"/>
      <c r="O25" s="134"/>
      <c r="P25" s="134"/>
      <c r="Q25" s="134"/>
      <c r="R25" s="134"/>
      <c r="S25" s="134"/>
      <c r="T25" s="134"/>
      <c r="U25" s="134"/>
      <c r="V25" s="134"/>
      <c r="W25" s="134"/>
      <c r="X25" s="134"/>
      <c r="Y25" s="134"/>
      <c r="Z25" s="134"/>
    </row>
    <row r="26" spans="1:26" hidden="1" outlineLevel="1" x14ac:dyDescent="0.25">
      <c r="A26" s="672"/>
      <c r="B26" s="673"/>
      <c r="C26" s="673"/>
      <c r="D26" s="80" t="s">
        <v>28</v>
      </c>
      <c r="E26" s="84">
        <f t="shared" si="0"/>
        <v>0</v>
      </c>
      <c r="F26" s="134"/>
      <c r="G26" s="134"/>
      <c r="H26" s="134"/>
      <c r="I26" s="134"/>
      <c r="J26" s="134"/>
      <c r="K26" s="134"/>
      <c r="L26" s="134"/>
      <c r="M26" s="134"/>
      <c r="N26" s="134"/>
      <c r="O26" s="134"/>
      <c r="P26" s="134"/>
      <c r="Q26" s="134"/>
      <c r="R26" s="134"/>
      <c r="S26" s="134"/>
      <c r="T26" s="134"/>
      <c r="U26" s="134"/>
      <c r="V26" s="134"/>
      <c r="W26" s="134"/>
      <c r="X26" s="134"/>
      <c r="Y26" s="134"/>
      <c r="Z26" s="134"/>
    </row>
    <row r="27" spans="1:26" hidden="1" outlineLevel="1" x14ac:dyDescent="0.25">
      <c r="A27" s="672"/>
      <c r="B27" s="673"/>
      <c r="C27" s="673"/>
      <c r="D27" s="80" t="s">
        <v>29</v>
      </c>
      <c r="E27" s="84">
        <f t="shared" si="0"/>
        <v>0</v>
      </c>
      <c r="F27" s="134"/>
      <c r="G27" s="134"/>
      <c r="H27" s="134"/>
      <c r="I27" s="134"/>
      <c r="J27" s="134"/>
      <c r="K27" s="134"/>
      <c r="L27" s="134"/>
      <c r="M27" s="134"/>
      <c r="N27" s="134"/>
      <c r="O27" s="134"/>
      <c r="P27" s="134"/>
      <c r="Q27" s="134"/>
      <c r="R27" s="134"/>
      <c r="S27" s="134"/>
      <c r="T27" s="134"/>
      <c r="U27" s="134"/>
      <c r="V27" s="134"/>
      <c r="W27" s="134"/>
      <c r="X27" s="134"/>
      <c r="Y27" s="134"/>
      <c r="Z27" s="134"/>
    </row>
    <row r="28" spans="1:26" hidden="1" outlineLevel="1" x14ac:dyDescent="0.25">
      <c r="A28" s="672"/>
      <c r="B28" s="673"/>
      <c r="C28" s="673"/>
      <c r="D28" s="80" t="s">
        <v>30</v>
      </c>
      <c r="E28" s="84">
        <f t="shared" si="0"/>
        <v>0</v>
      </c>
      <c r="F28" s="134"/>
      <c r="G28" s="134"/>
      <c r="H28" s="134"/>
      <c r="I28" s="134"/>
      <c r="J28" s="134"/>
      <c r="K28" s="134"/>
      <c r="L28" s="134"/>
      <c r="M28" s="134"/>
      <c r="N28" s="134"/>
      <c r="O28" s="134"/>
      <c r="P28" s="134"/>
      <c r="Q28" s="134"/>
      <c r="R28" s="134"/>
      <c r="S28" s="134"/>
      <c r="T28" s="134"/>
      <c r="U28" s="134"/>
      <c r="V28" s="134"/>
      <c r="W28" s="134"/>
      <c r="X28" s="134"/>
      <c r="Y28" s="134"/>
      <c r="Z28" s="134"/>
    </row>
    <row r="29" spans="1:26" hidden="1" outlineLevel="1" x14ac:dyDescent="0.25">
      <c r="A29" s="672"/>
      <c r="B29" s="673"/>
      <c r="C29" s="673"/>
      <c r="D29" s="80" t="s">
        <v>31</v>
      </c>
      <c r="E29" s="84">
        <f t="shared" si="0"/>
        <v>0</v>
      </c>
      <c r="F29" s="134"/>
      <c r="G29" s="134"/>
      <c r="H29" s="134"/>
      <c r="I29" s="134"/>
      <c r="J29" s="134"/>
      <c r="K29" s="134"/>
      <c r="L29" s="134"/>
      <c r="M29" s="134"/>
      <c r="N29" s="134"/>
      <c r="O29" s="134"/>
      <c r="P29" s="134"/>
      <c r="Q29" s="134"/>
      <c r="R29" s="134"/>
      <c r="S29" s="134"/>
      <c r="T29" s="134"/>
      <c r="U29" s="134"/>
      <c r="V29" s="134"/>
      <c r="W29" s="134"/>
      <c r="X29" s="134"/>
      <c r="Y29" s="134"/>
      <c r="Z29" s="134"/>
    </row>
    <row r="30" spans="1:26" hidden="1" outlineLevel="1" x14ac:dyDescent="0.25">
      <c r="A30" s="672"/>
      <c r="B30" s="673"/>
      <c r="C30" s="673"/>
      <c r="D30" s="80" t="s">
        <v>32</v>
      </c>
      <c r="E30" s="84">
        <f t="shared" si="0"/>
        <v>0</v>
      </c>
      <c r="F30" s="134"/>
      <c r="G30" s="134"/>
      <c r="H30" s="134"/>
      <c r="I30" s="134"/>
      <c r="J30" s="134"/>
      <c r="K30" s="134"/>
      <c r="L30" s="134"/>
      <c r="M30" s="134"/>
      <c r="N30" s="134"/>
      <c r="O30" s="134"/>
      <c r="P30" s="134"/>
      <c r="Q30" s="134"/>
      <c r="R30" s="134"/>
      <c r="S30" s="134"/>
      <c r="T30" s="134"/>
      <c r="U30" s="134"/>
      <c r="V30" s="134"/>
      <c r="W30" s="134"/>
      <c r="X30" s="134"/>
      <c r="Y30" s="134"/>
      <c r="Z30" s="134"/>
    </row>
    <row r="31" spans="1:26" hidden="1" outlineLevel="1" x14ac:dyDescent="0.25">
      <c r="A31" s="672"/>
      <c r="B31" s="673"/>
      <c r="C31" s="673"/>
      <c r="D31" s="80" t="s">
        <v>33</v>
      </c>
      <c r="E31" s="84">
        <f t="shared" si="0"/>
        <v>0</v>
      </c>
      <c r="F31" s="134"/>
      <c r="G31" s="134"/>
      <c r="H31" s="134"/>
      <c r="I31" s="134"/>
      <c r="J31" s="134"/>
      <c r="K31" s="134"/>
      <c r="L31" s="134"/>
      <c r="M31" s="134"/>
      <c r="N31" s="134"/>
      <c r="O31" s="134"/>
      <c r="P31" s="134"/>
      <c r="Q31" s="134"/>
      <c r="R31" s="134"/>
      <c r="S31" s="134"/>
      <c r="T31" s="134"/>
      <c r="U31" s="134"/>
      <c r="V31" s="134"/>
      <c r="W31" s="134"/>
      <c r="X31" s="134"/>
      <c r="Y31" s="134"/>
      <c r="Z31" s="134"/>
    </row>
    <row r="32" spans="1:26" hidden="1" outlineLevel="1" x14ac:dyDescent="0.25">
      <c r="A32" s="672"/>
      <c r="B32" s="673"/>
      <c r="C32" s="673"/>
      <c r="D32" s="80" t="s">
        <v>34</v>
      </c>
      <c r="E32" s="84">
        <f t="shared" si="0"/>
        <v>0</v>
      </c>
      <c r="F32" s="134"/>
      <c r="G32" s="134"/>
      <c r="H32" s="134"/>
      <c r="I32" s="134"/>
      <c r="J32" s="134"/>
      <c r="K32" s="134"/>
      <c r="L32" s="134"/>
      <c r="M32" s="134"/>
      <c r="N32" s="134"/>
      <c r="O32" s="134"/>
      <c r="P32" s="134"/>
      <c r="Q32" s="134"/>
      <c r="R32" s="134"/>
      <c r="S32" s="134"/>
      <c r="T32" s="134"/>
      <c r="U32" s="134"/>
      <c r="V32" s="134"/>
      <c r="W32" s="134"/>
      <c r="X32" s="134"/>
      <c r="Y32" s="134"/>
      <c r="Z32" s="134"/>
    </row>
    <row r="33" spans="1:26" ht="15.75" hidden="1" outlineLevel="1" thickBot="1" x14ac:dyDescent="0.3">
      <c r="A33" s="672"/>
      <c r="B33" s="673"/>
      <c r="C33" s="673"/>
      <c r="D33" s="81" t="s">
        <v>35</v>
      </c>
      <c r="E33" s="84">
        <f t="shared" si="0"/>
        <v>0</v>
      </c>
      <c r="F33" s="136"/>
      <c r="G33" s="136"/>
      <c r="H33" s="136"/>
      <c r="I33" s="136"/>
      <c r="J33" s="136"/>
      <c r="K33" s="136"/>
      <c r="L33" s="136"/>
      <c r="M33" s="136"/>
      <c r="N33" s="136"/>
      <c r="O33" s="136"/>
      <c r="P33" s="136"/>
      <c r="Q33" s="136"/>
      <c r="R33" s="136"/>
      <c r="S33" s="136"/>
      <c r="T33" s="136"/>
      <c r="U33" s="136"/>
      <c r="V33" s="136"/>
      <c r="W33" s="136"/>
      <c r="X33" s="136"/>
      <c r="Y33" s="136"/>
      <c r="Z33" s="136"/>
    </row>
    <row r="34" spans="1:26" ht="15.75" collapsed="1" thickBot="1" x14ac:dyDescent="0.3">
      <c r="A34" s="680" t="s">
        <v>88</v>
      </c>
      <c r="B34" s="680"/>
      <c r="C34" s="680"/>
      <c r="D34" s="88"/>
      <c r="E34" s="89">
        <f>SUM(E35:E84)</f>
        <v>0</v>
      </c>
      <c r="F34" s="90">
        <f>SUM(F35:F84)</f>
        <v>0</v>
      </c>
      <c r="G34" s="90"/>
      <c r="H34" s="90"/>
      <c r="I34" s="90"/>
      <c r="J34" s="90"/>
      <c r="K34" s="90"/>
      <c r="L34" s="90"/>
      <c r="M34" s="90"/>
      <c r="N34" s="90"/>
      <c r="O34" s="90"/>
      <c r="P34" s="90"/>
      <c r="Q34" s="90"/>
      <c r="R34" s="90"/>
      <c r="S34" s="90"/>
      <c r="T34" s="90"/>
      <c r="U34" s="90"/>
      <c r="V34" s="90"/>
      <c r="W34" s="90"/>
      <c r="X34" s="90"/>
      <c r="Y34" s="90"/>
      <c r="Z34" s="90"/>
    </row>
    <row r="35" spans="1:26" hidden="1" outlineLevel="1" x14ac:dyDescent="0.25">
      <c r="A35" s="672" t="s">
        <v>93</v>
      </c>
      <c r="B35" s="673" t="s">
        <v>80</v>
      </c>
      <c r="C35" s="673">
        <v>635002</v>
      </c>
      <c r="D35" s="79" t="s">
        <v>26</v>
      </c>
      <c r="E35" s="83">
        <f t="shared" ref="E35:E66" si="1">SUM(F35:F35)</f>
        <v>0</v>
      </c>
      <c r="F35" s="134">
        <v>0</v>
      </c>
      <c r="G35" s="134"/>
      <c r="H35" s="134"/>
      <c r="I35" s="134"/>
      <c r="J35" s="134"/>
      <c r="K35" s="134"/>
      <c r="L35" s="134"/>
      <c r="M35" s="134"/>
      <c r="N35" s="134"/>
      <c r="O35" s="134"/>
      <c r="P35" s="134"/>
      <c r="Q35" s="134"/>
      <c r="R35" s="134"/>
      <c r="S35" s="134"/>
      <c r="T35" s="134"/>
      <c r="U35" s="134"/>
      <c r="V35" s="134"/>
      <c r="W35" s="134"/>
      <c r="X35" s="134"/>
      <c r="Y35" s="134"/>
      <c r="Z35" s="134"/>
    </row>
    <row r="36" spans="1:26" hidden="1" outlineLevel="1" x14ac:dyDescent="0.25">
      <c r="A36" s="672"/>
      <c r="B36" s="673"/>
      <c r="C36" s="673"/>
      <c r="D36" s="80" t="s">
        <v>27</v>
      </c>
      <c r="E36" s="84">
        <f t="shared" si="1"/>
        <v>0</v>
      </c>
      <c r="F36" s="134">
        <v>0</v>
      </c>
      <c r="G36" s="134"/>
      <c r="H36" s="134"/>
      <c r="I36" s="134"/>
      <c r="J36" s="134"/>
      <c r="K36" s="134"/>
      <c r="L36" s="134"/>
      <c r="M36" s="134"/>
      <c r="N36" s="134"/>
      <c r="O36" s="134"/>
      <c r="P36" s="134"/>
      <c r="Q36" s="134"/>
      <c r="R36" s="134"/>
      <c r="S36" s="134"/>
      <c r="T36" s="134"/>
      <c r="U36" s="134"/>
      <c r="V36" s="134"/>
      <c r="W36" s="134"/>
      <c r="X36" s="134"/>
      <c r="Y36" s="134"/>
      <c r="Z36" s="134"/>
    </row>
    <row r="37" spans="1:26" hidden="1" outlineLevel="1" x14ac:dyDescent="0.25">
      <c r="A37" s="672"/>
      <c r="B37" s="673"/>
      <c r="C37" s="673"/>
      <c r="D37" s="80" t="s">
        <v>28</v>
      </c>
      <c r="E37" s="84">
        <f t="shared" si="1"/>
        <v>0</v>
      </c>
      <c r="F37" s="134">
        <v>0</v>
      </c>
      <c r="G37" s="134"/>
      <c r="H37" s="134"/>
      <c r="I37" s="134"/>
      <c r="J37" s="134"/>
      <c r="K37" s="134"/>
      <c r="L37" s="134"/>
      <c r="M37" s="134"/>
      <c r="N37" s="134"/>
      <c r="O37" s="134"/>
      <c r="P37" s="134"/>
      <c r="Q37" s="134"/>
      <c r="R37" s="134"/>
      <c r="S37" s="134"/>
      <c r="T37" s="134"/>
      <c r="U37" s="134"/>
      <c r="V37" s="134"/>
      <c r="W37" s="134"/>
      <c r="X37" s="134"/>
      <c r="Y37" s="134"/>
      <c r="Z37" s="134"/>
    </row>
    <row r="38" spans="1:26" hidden="1" outlineLevel="1" x14ac:dyDescent="0.25">
      <c r="A38" s="672"/>
      <c r="B38" s="673"/>
      <c r="C38" s="673"/>
      <c r="D38" s="80" t="s">
        <v>29</v>
      </c>
      <c r="E38" s="84">
        <f t="shared" si="1"/>
        <v>0</v>
      </c>
      <c r="F38" s="134">
        <v>0</v>
      </c>
      <c r="G38" s="134"/>
      <c r="H38" s="134"/>
      <c r="I38" s="134"/>
      <c r="J38" s="134"/>
      <c r="K38" s="134"/>
      <c r="L38" s="134"/>
      <c r="M38" s="134"/>
      <c r="N38" s="134"/>
      <c r="O38" s="134"/>
      <c r="P38" s="134"/>
      <c r="Q38" s="134"/>
      <c r="R38" s="134"/>
      <c r="S38" s="134"/>
      <c r="T38" s="134"/>
      <c r="U38" s="134"/>
      <c r="V38" s="134"/>
      <c r="W38" s="134"/>
      <c r="X38" s="134"/>
      <c r="Y38" s="134"/>
      <c r="Z38" s="134"/>
    </row>
    <row r="39" spans="1:26" hidden="1" outlineLevel="1" x14ac:dyDescent="0.25">
      <c r="A39" s="672"/>
      <c r="B39" s="673"/>
      <c r="C39" s="673"/>
      <c r="D39" s="80" t="s">
        <v>30</v>
      </c>
      <c r="E39" s="84">
        <f t="shared" si="1"/>
        <v>0</v>
      </c>
      <c r="F39" s="134">
        <v>0</v>
      </c>
      <c r="G39" s="134"/>
      <c r="H39" s="134"/>
      <c r="I39" s="134"/>
      <c r="J39" s="134"/>
      <c r="K39" s="134"/>
      <c r="L39" s="134"/>
      <c r="M39" s="134"/>
      <c r="N39" s="134"/>
      <c r="O39" s="134"/>
      <c r="P39" s="134"/>
      <c r="Q39" s="134"/>
      <c r="R39" s="134"/>
      <c r="S39" s="134"/>
      <c r="T39" s="134"/>
      <c r="U39" s="134"/>
      <c r="V39" s="134"/>
      <c r="W39" s="134"/>
      <c r="X39" s="134"/>
      <c r="Y39" s="134"/>
      <c r="Z39" s="134"/>
    </row>
    <row r="40" spans="1:26" hidden="1" outlineLevel="1" x14ac:dyDescent="0.25">
      <c r="A40" s="672"/>
      <c r="B40" s="673"/>
      <c r="C40" s="673"/>
      <c r="D40" s="80" t="s">
        <v>31</v>
      </c>
      <c r="E40" s="84">
        <f t="shared" si="1"/>
        <v>0</v>
      </c>
      <c r="F40" s="134">
        <v>0</v>
      </c>
      <c r="G40" s="134"/>
      <c r="H40" s="134"/>
      <c r="I40" s="134"/>
      <c r="J40" s="134"/>
      <c r="K40" s="134"/>
      <c r="L40" s="134"/>
      <c r="M40" s="134"/>
      <c r="N40" s="134"/>
      <c r="O40" s="134"/>
      <c r="P40" s="134"/>
      <c r="Q40" s="134"/>
      <c r="R40" s="134"/>
      <c r="S40" s="134"/>
      <c r="T40" s="134"/>
      <c r="U40" s="134"/>
      <c r="V40" s="134"/>
      <c r="W40" s="134"/>
      <c r="X40" s="134"/>
      <c r="Y40" s="134"/>
      <c r="Z40" s="134"/>
    </row>
    <row r="41" spans="1:26" hidden="1" outlineLevel="1" x14ac:dyDescent="0.25">
      <c r="A41" s="672"/>
      <c r="B41" s="673"/>
      <c r="C41" s="673"/>
      <c r="D41" s="80" t="s">
        <v>32</v>
      </c>
      <c r="E41" s="84">
        <f t="shared" si="1"/>
        <v>0</v>
      </c>
      <c r="F41" s="134">
        <v>0</v>
      </c>
      <c r="G41" s="134"/>
      <c r="H41" s="134"/>
      <c r="I41" s="134"/>
      <c r="J41" s="134"/>
      <c r="K41" s="134"/>
      <c r="L41" s="134"/>
      <c r="M41" s="134"/>
      <c r="N41" s="134"/>
      <c r="O41" s="134"/>
      <c r="P41" s="134"/>
      <c r="Q41" s="134"/>
      <c r="R41" s="134"/>
      <c r="S41" s="134"/>
      <c r="T41" s="134"/>
      <c r="U41" s="134"/>
      <c r="V41" s="134"/>
      <c r="W41" s="134"/>
      <c r="X41" s="134"/>
      <c r="Y41" s="134"/>
      <c r="Z41" s="134"/>
    </row>
    <row r="42" spans="1:26" hidden="1" outlineLevel="1" x14ac:dyDescent="0.25">
      <c r="A42" s="672"/>
      <c r="B42" s="673"/>
      <c r="C42" s="673"/>
      <c r="D42" s="80" t="s">
        <v>33</v>
      </c>
      <c r="E42" s="84">
        <f t="shared" si="1"/>
        <v>0</v>
      </c>
      <c r="F42" s="134">
        <v>0</v>
      </c>
      <c r="G42" s="134"/>
      <c r="H42" s="134"/>
      <c r="I42" s="134"/>
      <c r="J42" s="134"/>
      <c r="K42" s="134"/>
      <c r="L42" s="134"/>
      <c r="M42" s="134"/>
      <c r="N42" s="134"/>
      <c r="O42" s="134"/>
      <c r="P42" s="134"/>
      <c r="Q42" s="134"/>
      <c r="R42" s="134"/>
      <c r="S42" s="134"/>
      <c r="T42" s="134"/>
      <c r="U42" s="134"/>
      <c r="V42" s="134"/>
      <c r="W42" s="134"/>
      <c r="X42" s="134"/>
      <c r="Y42" s="134"/>
      <c r="Z42" s="134"/>
    </row>
    <row r="43" spans="1:26" hidden="1" outlineLevel="1" x14ac:dyDescent="0.25">
      <c r="A43" s="672"/>
      <c r="B43" s="673"/>
      <c r="C43" s="673"/>
      <c r="D43" s="80" t="s">
        <v>34</v>
      </c>
      <c r="E43" s="84">
        <f t="shared" si="1"/>
        <v>0</v>
      </c>
      <c r="F43" s="134">
        <v>0</v>
      </c>
      <c r="G43" s="134"/>
      <c r="H43" s="134"/>
      <c r="I43" s="134"/>
      <c r="J43" s="134"/>
      <c r="K43" s="134"/>
      <c r="L43" s="134"/>
      <c r="M43" s="134"/>
      <c r="N43" s="134"/>
      <c r="O43" s="134"/>
      <c r="P43" s="134"/>
      <c r="Q43" s="134"/>
      <c r="R43" s="134"/>
      <c r="S43" s="134"/>
      <c r="T43" s="134"/>
      <c r="U43" s="134"/>
      <c r="V43" s="134"/>
      <c r="W43" s="134"/>
      <c r="X43" s="134"/>
      <c r="Y43" s="134"/>
      <c r="Z43" s="134"/>
    </row>
    <row r="44" spans="1:26" ht="15.75" hidden="1" outlineLevel="1" thickBot="1" x14ac:dyDescent="0.3">
      <c r="A44" s="672"/>
      <c r="B44" s="673"/>
      <c r="C44" s="673"/>
      <c r="D44" s="81" t="s">
        <v>35</v>
      </c>
      <c r="E44" s="85">
        <f t="shared" si="1"/>
        <v>0</v>
      </c>
      <c r="F44" s="134">
        <v>0</v>
      </c>
      <c r="G44" s="134"/>
      <c r="H44" s="134"/>
      <c r="I44" s="134"/>
      <c r="J44" s="134"/>
      <c r="K44" s="134"/>
      <c r="L44" s="134"/>
      <c r="M44" s="134"/>
      <c r="N44" s="134"/>
      <c r="O44" s="134"/>
      <c r="P44" s="134"/>
      <c r="Q44" s="134"/>
      <c r="R44" s="134"/>
      <c r="S44" s="134"/>
      <c r="T44" s="134"/>
      <c r="U44" s="134"/>
      <c r="V44" s="134"/>
      <c r="W44" s="134"/>
      <c r="X44" s="134"/>
      <c r="Y44" s="134"/>
      <c r="Z44" s="134"/>
    </row>
    <row r="45" spans="1:26" hidden="1" outlineLevel="1" x14ac:dyDescent="0.25">
      <c r="A45" s="672" t="s">
        <v>94</v>
      </c>
      <c r="B45" s="672" t="s">
        <v>92</v>
      </c>
      <c r="C45" s="673">
        <v>718002</v>
      </c>
      <c r="D45" s="79" t="s">
        <v>26</v>
      </c>
      <c r="E45" s="84">
        <f t="shared" si="1"/>
        <v>0</v>
      </c>
      <c r="F45" s="132">
        <v>0</v>
      </c>
      <c r="G45" s="132"/>
      <c r="H45" s="132"/>
      <c r="I45" s="132"/>
      <c r="J45" s="132"/>
      <c r="K45" s="132"/>
      <c r="L45" s="132"/>
      <c r="M45" s="132"/>
      <c r="N45" s="132"/>
      <c r="O45" s="132"/>
      <c r="P45" s="132"/>
      <c r="Q45" s="132"/>
      <c r="R45" s="132"/>
      <c r="S45" s="132"/>
      <c r="T45" s="132"/>
      <c r="U45" s="132"/>
      <c r="V45" s="132"/>
      <c r="W45" s="132"/>
      <c r="X45" s="132"/>
      <c r="Y45" s="132"/>
      <c r="Z45" s="132"/>
    </row>
    <row r="46" spans="1:26" hidden="1" outlineLevel="1" x14ac:dyDescent="0.25">
      <c r="A46" s="672"/>
      <c r="B46" s="673"/>
      <c r="C46" s="673"/>
      <c r="D46" s="80" t="s">
        <v>27</v>
      </c>
      <c r="E46" s="84">
        <f t="shared" si="1"/>
        <v>0</v>
      </c>
      <c r="F46" s="134">
        <v>0</v>
      </c>
      <c r="G46" s="134"/>
      <c r="H46" s="134"/>
      <c r="I46" s="134"/>
      <c r="J46" s="134"/>
      <c r="K46" s="134"/>
      <c r="L46" s="134"/>
      <c r="M46" s="134"/>
      <c r="N46" s="134"/>
      <c r="O46" s="134"/>
      <c r="P46" s="134"/>
      <c r="Q46" s="134"/>
      <c r="R46" s="134"/>
      <c r="S46" s="134"/>
      <c r="T46" s="134"/>
      <c r="U46" s="134"/>
      <c r="V46" s="134"/>
      <c r="W46" s="134"/>
      <c r="X46" s="134"/>
      <c r="Y46" s="134"/>
      <c r="Z46" s="134"/>
    </row>
    <row r="47" spans="1:26" hidden="1" outlineLevel="1" x14ac:dyDescent="0.25">
      <c r="A47" s="672"/>
      <c r="B47" s="673"/>
      <c r="C47" s="673"/>
      <c r="D47" s="80" t="s">
        <v>28</v>
      </c>
      <c r="E47" s="84">
        <f t="shared" si="1"/>
        <v>0</v>
      </c>
      <c r="F47" s="134">
        <v>0</v>
      </c>
      <c r="G47" s="134"/>
      <c r="H47" s="134"/>
      <c r="I47" s="134"/>
      <c r="J47" s="134"/>
      <c r="K47" s="134"/>
      <c r="L47" s="134"/>
      <c r="M47" s="134"/>
      <c r="N47" s="134"/>
      <c r="O47" s="134"/>
      <c r="P47" s="134"/>
      <c r="Q47" s="134"/>
      <c r="R47" s="134"/>
      <c r="S47" s="134"/>
      <c r="T47" s="134"/>
      <c r="U47" s="134"/>
      <c r="V47" s="134"/>
      <c r="W47" s="134"/>
      <c r="X47" s="134"/>
      <c r="Y47" s="134"/>
      <c r="Z47" s="134"/>
    </row>
    <row r="48" spans="1:26" hidden="1" outlineLevel="1" x14ac:dyDescent="0.25">
      <c r="A48" s="672"/>
      <c r="B48" s="673"/>
      <c r="C48" s="673"/>
      <c r="D48" s="80" t="s">
        <v>29</v>
      </c>
      <c r="E48" s="84">
        <f t="shared" si="1"/>
        <v>0</v>
      </c>
      <c r="F48" s="134">
        <v>0</v>
      </c>
      <c r="G48" s="134"/>
      <c r="H48" s="134"/>
      <c r="I48" s="134"/>
      <c r="J48" s="134"/>
      <c r="K48" s="134"/>
      <c r="L48" s="134"/>
      <c r="M48" s="134"/>
      <c r="N48" s="134"/>
      <c r="O48" s="134"/>
      <c r="P48" s="134"/>
      <c r="Q48" s="134"/>
      <c r="R48" s="134"/>
      <c r="S48" s="134"/>
      <c r="T48" s="134"/>
      <c r="U48" s="134"/>
      <c r="V48" s="134"/>
      <c r="W48" s="134"/>
      <c r="X48" s="134"/>
      <c r="Y48" s="134"/>
      <c r="Z48" s="134"/>
    </row>
    <row r="49" spans="1:26" hidden="1" outlineLevel="1" x14ac:dyDescent="0.25">
      <c r="A49" s="672"/>
      <c r="B49" s="673"/>
      <c r="C49" s="673"/>
      <c r="D49" s="80" t="s">
        <v>30</v>
      </c>
      <c r="E49" s="84">
        <f t="shared" si="1"/>
        <v>0</v>
      </c>
      <c r="F49" s="134">
        <v>0</v>
      </c>
      <c r="G49" s="134"/>
      <c r="H49" s="134"/>
      <c r="I49" s="134"/>
      <c r="J49" s="134"/>
      <c r="K49" s="134"/>
      <c r="L49" s="134"/>
      <c r="M49" s="134"/>
      <c r="N49" s="134"/>
      <c r="O49" s="134"/>
      <c r="P49" s="134"/>
      <c r="Q49" s="134"/>
      <c r="R49" s="134"/>
      <c r="S49" s="134"/>
      <c r="T49" s="134"/>
      <c r="U49" s="134"/>
      <c r="V49" s="134"/>
      <c r="W49" s="134"/>
      <c r="X49" s="134"/>
      <c r="Y49" s="134"/>
      <c r="Z49" s="134"/>
    </row>
    <row r="50" spans="1:26" hidden="1" outlineLevel="1" x14ac:dyDescent="0.25">
      <c r="A50" s="672"/>
      <c r="B50" s="673"/>
      <c r="C50" s="673"/>
      <c r="D50" s="80" t="s">
        <v>31</v>
      </c>
      <c r="E50" s="84">
        <f t="shared" si="1"/>
        <v>0</v>
      </c>
      <c r="F50" s="134">
        <v>0</v>
      </c>
      <c r="G50" s="134"/>
      <c r="H50" s="134"/>
      <c r="I50" s="134"/>
      <c r="J50" s="134"/>
      <c r="K50" s="134"/>
      <c r="L50" s="134"/>
      <c r="M50" s="134"/>
      <c r="N50" s="134"/>
      <c r="O50" s="134"/>
      <c r="P50" s="134"/>
      <c r="Q50" s="134"/>
      <c r="R50" s="134"/>
      <c r="S50" s="134"/>
      <c r="T50" s="134"/>
      <c r="U50" s="134"/>
      <c r="V50" s="134"/>
      <c r="W50" s="134"/>
      <c r="X50" s="134"/>
      <c r="Y50" s="134"/>
      <c r="Z50" s="134"/>
    </row>
    <row r="51" spans="1:26" hidden="1" outlineLevel="1" x14ac:dyDescent="0.25">
      <c r="A51" s="672"/>
      <c r="B51" s="673"/>
      <c r="C51" s="673"/>
      <c r="D51" s="80" t="s">
        <v>32</v>
      </c>
      <c r="E51" s="84">
        <f t="shared" si="1"/>
        <v>0</v>
      </c>
      <c r="F51" s="134">
        <v>0</v>
      </c>
      <c r="G51" s="134"/>
      <c r="H51" s="134"/>
      <c r="I51" s="134"/>
      <c r="J51" s="134"/>
      <c r="K51" s="134"/>
      <c r="L51" s="134"/>
      <c r="M51" s="134"/>
      <c r="N51" s="134"/>
      <c r="O51" s="134"/>
      <c r="P51" s="134"/>
      <c r="Q51" s="134"/>
      <c r="R51" s="134"/>
      <c r="S51" s="134"/>
      <c r="T51" s="134"/>
      <c r="U51" s="134"/>
      <c r="V51" s="134"/>
      <c r="W51" s="134"/>
      <c r="X51" s="134"/>
      <c r="Y51" s="134"/>
      <c r="Z51" s="134"/>
    </row>
    <row r="52" spans="1:26" hidden="1" outlineLevel="1" x14ac:dyDescent="0.25">
      <c r="A52" s="672"/>
      <c r="B52" s="673"/>
      <c r="C52" s="673"/>
      <c r="D52" s="80" t="s">
        <v>33</v>
      </c>
      <c r="E52" s="84">
        <f t="shared" si="1"/>
        <v>0</v>
      </c>
      <c r="F52" s="134">
        <v>0</v>
      </c>
      <c r="G52" s="134"/>
      <c r="H52" s="134"/>
      <c r="I52" s="134"/>
      <c r="J52" s="134"/>
      <c r="K52" s="134"/>
      <c r="L52" s="134"/>
      <c r="M52" s="134"/>
      <c r="N52" s="134"/>
      <c r="O52" s="134"/>
      <c r="P52" s="134"/>
      <c r="Q52" s="134"/>
      <c r="R52" s="134"/>
      <c r="S52" s="134"/>
      <c r="T52" s="134"/>
      <c r="U52" s="134"/>
      <c r="V52" s="134"/>
      <c r="W52" s="134"/>
      <c r="X52" s="134"/>
      <c r="Y52" s="134"/>
      <c r="Z52" s="134"/>
    </row>
    <row r="53" spans="1:26" hidden="1" outlineLevel="1" x14ac:dyDescent="0.25">
      <c r="A53" s="672"/>
      <c r="B53" s="673"/>
      <c r="C53" s="673"/>
      <c r="D53" s="80" t="s">
        <v>34</v>
      </c>
      <c r="E53" s="84">
        <f t="shared" si="1"/>
        <v>0</v>
      </c>
      <c r="F53" s="134">
        <v>0</v>
      </c>
      <c r="G53" s="134"/>
      <c r="H53" s="134"/>
      <c r="I53" s="134"/>
      <c r="J53" s="134"/>
      <c r="K53" s="134"/>
      <c r="L53" s="134"/>
      <c r="M53" s="134"/>
      <c r="N53" s="134"/>
      <c r="O53" s="134"/>
      <c r="P53" s="134"/>
      <c r="Q53" s="134"/>
      <c r="R53" s="134"/>
      <c r="S53" s="134"/>
      <c r="T53" s="134"/>
      <c r="U53" s="134"/>
      <c r="V53" s="134"/>
      <c r="W53" s="134"/>
      <c r="X53" s="134"/>
      <c r="Y53" s="134"/>
      <c r="Z53" s="134"/>
    </row>
    <row r="54" spans="1:26" ht="15.75" hidden="1" outlineLevel="1" thickBot="1" x14ac:dyDescent="0.3">
      <c r="A54" s="672"/>
      <c r="B54" s="673"/>
      <c r="C54" s="673"/>
      <c r="D54" s="81" t="s">
        <v>35</v>
      </c>
      <c r="E54" s="85">
        <f t="shared" si="1"/>
        <v>0</v>
      </c>
      <c r="F54" s="136">
        <v>0</v>
      </c>
      <c r="G54" s="136"/>
      <c r="H54" s="136"/>
      <c r="I54" s="136"/>
      <c r="J54" s="136"/>
      <c r="K54" s="136"/>
      <c r="L54" s="136"/>
      <c r="M54" s="136"/>
      <c r="N54" s="136"/>
      <c r="O54" s="136"/>
      <c r="P54" s="136"/>
      <c r="Q54" s="136"/>
      <c r="R54" s="136"/>
      <c r="S54" s="136"/>
      <c r="T54" s="136"/>
      <c r="U54" s="136"/>
      <c r="V54" s="136"/>
      <c r="W54" s="136"/>
      <c r="X54" s="136"/>
      <c r="Y54" s="136"/>
      <c r="Z54" s="136"/>
    </row>
    <row r="55" spans="1:26" hidden="1" outlineLevel="1" x14ac:dyDescent="0.25">
      <c r="A55" s="672" t="s">
        <v>95</v>
      </c>
      <c r="B55" s="673"/>
      <c r="C55" s="673"/>
      <c r="D55" s="79" t="s">
        <v>26</v>
      </c>
      <c r="E55" s="84">
        <f t="shared" si="1"/>
        <v>0</v>
      </c>
      <c r="F55" s="132">
        <v>0</v>
      </c>
      <c r="G55" s="132"/>
      <c r="H55" s="132"/>
      <c r="I55" s="132"/>
      <c r="J55" s="132"/>
      <c r="K55" s="132"/>
      <c r="L55" s="132"/>
      <c r="M55" s="132"/>
      <c r="N55" s="132"/>
      <c r="O55" s="132"/>
      <c r="P55" s="132"/>
      <c r="Q55" s="132"/>
      <c r="R55" s="132"/>
      <c r="S55" s="132"/>
      <c r="T55" s="132"/>
      <c r="U55" s="132"/>
      <c r="V55" s="132"/>
      <c r="W55" s="132"/>
      <c r="X55" s="132"/>
      <c r="Y55" s="132"/>
      <c r="Z55" s="132"/>
    </row>
    <row r="56" spans="1:26" hidden="1" outlineLevel="1" x14ac:dyDescent="0.25">
      <c r="A56" s="672"/>
      <c r="B56" s="673"/>
      <c r="C56" s="673"/>
      <c r="D56" s="80" t="s">
        <v>27</v>
      </c>
      <c r="E56" s="84">
        <f t="shared" si="1"/>
        <v>0</v>
      </c>
      <c r="F56" s="134">
        <v>0</v>
      </c>
      <c r="G56" s="134"/>
      <c r="H56" s="134"/>
      <c r="I56" s="134"/>
      <c r="J56" s="134"/>
      <c r="K56" s="134"/>
      <c r="L56" s="134"/>
      <c r="M56" s="134"/>
      <c r="N56" s="134"/>
      <c r="O56" s="134"/>
      <c r="P56" s="134"/>
      <c r="Q56" s="134"/>
      <c r="R56" s="134"/>
      <c r="S56" s="134"/>
      <c r="T56" s="134"/>
      <c r="U56" s="134"/>
      <c r="V56" s="134"/>
      <c r="W56" s="134"/>
      <c r="X56" s="134"/>
      <c r="Y56" s="134"/>
      <c r="Z56" s="134"/>
    </row>
    <row r="57" spans="1:26" hidden="1" outlineLevel="1" x14ac:dyDescent="0.25">
      <c r="A57" s="672"/>
      <c r="B57" s="673"/>
      <c r="C57" s="673"/>
      <c r="D57" s="80" t="s">
        <v>28</v>
      </c>
      <c r="E57" s="84">
        <f t="shared" si="1"/>
        <v>0</v>
      </c>
      <c r="F57" s="134">
        <v>0</v>
      </c>
      <c r="G57" s="134"/>
      <c r="H57" s="134"/>
      <c r="I57" s="134"/>
      <c r="J57" s="134"/>
      <c r="K57" s="134"/>
      <c r="L57" s="134"/>
      <c r="M57" s="134"/>
      <c r="N57" s="134"/>
      <c r="O57" s="134"/>
      <c r="P57" s="134"/>
      <c r="Q57" s="134"/>
      <c r="R57" s="134"/>
      <c r="S57" s="134"/>
      <c r="T57" s="134"/>
      <c r="U57" s="134"/>
      <c r="V57" s="134"/>
      <c r="W57" s="134"/>
      <c r="X57" s="134"/>
      <c r="Y57" s="134"/>
      <c r="Z57" s="134"/>
    </row>
    <row r="58" spans="1:26" hidden="1" outlineLevel="1" x14ac:dyDescent="0.25">
      <c r="A58" s="672"/>
      <c r="B58" s="673"/>
      <c r="C58" s="673"/>
      <c r="D58" s="80" t="s">
        <v>29</v>
      </c>
      <c r="E58" s="84">
        <f t="shared" si="1"/>
        <v>0</v>
      </c>
      <c r="F58" s="134">
        <v>0</v>
      </c>
      <c r="G58" s="134"/>
      <c r="H58" s="134"/>
      <c r="I58" s="134"/>
      <c r="J58" s="134"/>
      <c r="K58" s="134"/>
      <c r="L58" s="134"/>
      <c r="M58" s="134"/>
      <c r="N58" s="134"/>
      <c r="O58" s="134"/>
      <c r="P58" s="134"/>
      <c r="Q58" s="134"/>
      <c r="R58" s="134"/>
      <c r="S58" s="134"/>
      <c r="T58" s="134"/>
      <c r="U58" s="134"/>
      <c r="V58" s="134"/>
      <c r="W58" s="134"/>
      <c r="X58" s="134"/>
      <c r="Y58" s="134"/>
      <c r="Z58" s="134"/>
    </row>
    <row r="59" spans="1:26" hidden="1" outlineLevel="1" x14ac:dyDescent="0.25">
      <c r="A59" s="672"/>
      <c r="B59" s="673"/>
      <c r="C59" s="673"/>
      <c r="D59" s="80" t="s">
        <v>30</v>
      </c>
      <c r="E59" s="84">
        <f t="shared" si="1"/>
        <v>0</v>
      </c>
      <c r="F59" s="134">
        <v>0</v>
      </c>
      <c r="G59" s="134"/>
      <c r="H59" s="134"/>
      <c r="I59" s="134"/>
      <c r="J59" s="134"/>
      <c r="K59" s="134"/>
      <c r="L59" s="134"/>
      <c r="M59" s="134"/>
      <c r="N59" s="134"/>
      <c r="O59" s="134"/>
      <c r="P59" s="134"/>
      <c r="Q59" s="134"/>
      <c r="R59" s="134"/>
      <c r="S59" s="134"/>
      <c r="T59" s="134"/>
      <c r="U59" s="134"/>
      <c r="V59" s="134"/>
      <c r="W59" s="134"/>
      <c r="X59" s="134"/>
      <c r="Y59" s="134"/>
      <c r="Z59" s="134"/>
    </row>
    <row r="60" spans="1:26" hidden="1" outlineLevel="1" x14ac:dyDescent="0.25">
      <c r="A60" s="672"/>
      <c r="B60" s="673"/>
      <c r="C60" s="673"/>
      <c r="D60" s="80" t="s">
        <v>31</v>
      </c>
      <c r="E60" s="84">
        <f t="shared" si="1"/>
        <v>0</v>
      </c>
      <c r="F60" s="134">
        <v>0</v>
      </c>
      <c r="G60" s="134"/>
      <c r="H60" s="134"/>
      <c r="I60" s="134"/>
      <c r="J60" s="134"/>
      <c r="K60" s="134"/>
      <c r="L60" s="134"/>
      <c r="M60" s="134"/>
      <c r="N60" s="134"/>
      <c r="O60" s="134"/>
      <c r="P60" s="134"/>
      <c r="Q60" s="134"/>
      <c r="R60" s="134"/>
      <c r="S60" s="134"/>
      <c r="T60" s="134"/>
      <c r="U60" s="134"/>
      <c r="V60" s="134"/>
      <c r="W60" s="134"/>
      <c r="X60" s="134"/>
      <c r="Y60" s="134"/>
      <c r="Z60" s="134"/>
    </row>
    <row r="61" spans="1:26" hidden="1" outlineLevel="1" x14ac:dyDescent="0.25">
      <c r="A61" s="672"/>
      <c r="B61" s="673"/>
      <c r="C61" s="673"/>
      <c r="D61" s="80" t="s">
        <v>32</v>
      </c>
      <c r="E61" s="84">
        <f t="shared" si="1"/>
        <v>0</v>
      </c>
      <c r="F61" s="134">
        <v>0</v>
      </c>
      <c r="G61" s="134"/>
      <c r="H61" s="134"/>
      <c r="I61" s="134"/>
      <c r="J61" s="134"/>
      <c r="K61" s="134"/>
      <c r="L61" s="134"/>
      <c r="M61" s="134"/>
      <c r="N61" s="134"/>
      <c r="O61" s="134"/>
      <c r="P61" s="134"/>
      <c r="Q61" s="134"/>
      <c r="R61" s="134"/>
      <c r="S61" s="134"/>
      <c r="T61" s="134"/>
      <c r="U61" s="134"/>
      <c r="V61" s="134"/>
      <c r="W61" s="134"/>
      <c r="X61" s="134"/>
      <c r="Y61" s="134"/>
      <c r="Z61" s="134"/>
    </row>
    <row r="62" spans="1:26" hidden="1" outlineLevel="1" x14ac:dyDescent="0.25">
      <c r="A62" s="672"/>
      <c r="B62" s="673"/>
      <c r="C62" s="673"/>
      <c r="D62" s="80" t="s">
        <v>33</v>
      </c>
      <c r="E62" s="84">
        <f t="shared" si="1"/>
        <v>0</v>
      </c>
      <c r="F62" s="134">
        <v>0</v>
      </c>
      <c r="G62" s="134"/>
      <c r="H62" s="134"/>
      <c r="I62" s="134"/>
      <c r="J62" s="134"/>
      <c r="K62" s="134"/>
      <c r="L62" s="134"/>
      <c r="M62" s="134"/>
      <c r="N62" s="134"/>
      <c r="O62" s="134"/>
      <c r="P62" s="134"/>
      <c r="Q62" s="134"/>
      <c r="R62" s="134"/>
      <c r="S62" s="134"/>
      <c r="T62" s="134"/>
      <c r="U62" s="134"/>
      <c r="V62" s="134"/>
      <c r="W62" s="134"/>
      <c r="X62" s="134"/>
      <c r="Y62" s="134"/>
      <c r="Z62" s="134"/>
    </row>
    <row r="63" spans="1:26" hidden="1" outlineLevel="1" x14ac:dyDescent="0.25">
      <c r="A63" s="672"/>
      <c r="B63" s="673"/>
      <c r="C63" s="673"/>
      <c r="D63" s="80" t="s">
        <v>34</v>
      </c>
      <c r="E63" s="84">
        <f t="shared" si="1"/>
        <v>0</v>
      </c>
      <c r="F63" s="134">
        <v>0</v>
      </c>
      <c r="G63" s="134"/>
      <c r="H63" s="134"/>
      <c r="I63" s="134"/>
      <c r="J63" s="134"/>
      <c r="K63" s="134"/>
      <c r="L63" s="134"/>
      <c r="M63" s="134"/>
      <c r="N63" s="134"/>
      <c r="O63" s="134"/>
      <c r="P63" s="134"/>
      <c r="Q63" s="134"/>
      <c r="R63" s="134"/>
      <c r="S63" s="134"/>
      <c r="T63" s="134"/>
      <c r="U63" s="134"/>
      <c r="V63" s="134"/>
      <c r="W63" s="134"/>
      <c r="X63" s="134"/>
      <c r="Y63" s="134"/>
      <c r="Z63" s="134"/>
    </row>
    <row r="64" spans="1:26" ht="15.75" hidden="1" outlineLevel="1" thickBot="1" x14ac:dyDescent="0.3">
      <c r="A64" s="672"/>
      <c r="B64" s="673"/>
      <c r="C64" s="673"/>
      <c r="D64" s="81" t="s">
        <v>35</v>
      </c>
      <c r="E64" s="85">
        <f t="shared" si="1"/>
        <v>0</v>
      </c>
      <c r="F64" s="136">
        <v>0</v>
      </c>
      <c r="G64" s="136"/>
      <c r="H64" s="136"/>
      <c r="I64" s="136"/>
      <c r="J64" s="136"/>
      <c r="K64" s="136"/>
      <c r="L64" s="136"/>
      <c r="M64" s="136"/>
      <c r="N64" s="136"/>
      <c r="O64" s="136"/>
      <c r="P64" s="136"/>
      <c r="Q64" s="136"/>
      <c r="R64" s="136"/>
      <c r="S64" s="136"/>
      <c r="T64" s="136"/>
      <c r="U64" s="136"/>
      <c r="V64" s="136"/>
      <c r="W64" s="136"/>
      <c r="X64" s="136"/>
      <c r="Y64" s="136"/>
      <c r="Z64" s="136"/>
    </row>
    <row r="65" spans="1:26" hidden="1" outlineLevel="1" x14ac:dyDescent="0.25">
      <c r="A65" s="672" t="s">
        <v>96</v>
      </c>
      <c r="B65" s="673"/>
      <c r="C65" s="673"/>
      <c r="D65" s="79" t="s">
        <v>26</v>
      </c>
      <c r="E65" s="84">
        <f t="shared" si="1"/>
        <v>0</v>
      </c>
      <c r="F65" s="132">
        <v>0</v>
      </c>
      <c r="G65" s="132"/>
      <c r="H65" s="132"/>
      <c r="I65" s="132"/>
      <c r="J65" s="132"/>
      <c r="K65" s="132"/>
      <c r="L65" s="132"/>
      <c r="M65" s="132"/>
      <c r="N65" s="132"/>
      <c r="O65" s="132"/>
      <c r="P65" s="132"/>
      <c r="Q65" s="132"/>
      <c r="R65" s="132"/>
      <c r="S65" s="132"/>
      <c r="T65" s="132"/>
      <c r="U65" s="132"/>
      <c r="V65" s="132"/>
      <c r="W65" s="132"/>
      <c r="X65" s="132"/>
      <c r="Y65" s="132"/>
      <c r="Z65" s="132"/>
    </row>
    <row r="66" spans="1:26" hidden="1" outlineLevel="1" x14ac:dyDescent="0.25">
      <c r="A66" s="672"/>
      <c r="B66" s="673"/>
      <c r="C66" s="673"/>
      <c r="D66" s="80" t="s">
        <v>27</v>
      </c>
      <c r="E66" s="84">
        <f t="shared" si="1"/>
        <v>0</v>
      </c>
      <c r="F66" s="134">
        <v>0</v>
      </c>
      <c r="G66" s="134"/>
      <c r="H66" s="134"/>
      <c r="I66" s="134"/>
      <c r="J66" s="134"/>
      <c r="K66" s="134"/>
      <c r="L66" s="134"/>
      <c r="M66" s="134"/>
      <c r="N66" s="134"/>
      <c r="O66" s="134"/>
      <c r="P66" s="134"/>
      <c r="Q66" s="134"/>
      <c r="R66" s="134"/>
      <c r="S66" s="134"/>
      <c r="T66" s="134"/>
      <c r="U66" s="134"/>
      <c r="V66" s="134"/>
      <c r="W66" s="134"/>
      <c r="X66" s="134"/>
      <c r="Y66" s="134"/>
      <c r="Z66" s="134"/>
    </row>
    <row r="67" spans="1:26" hidden="1" outlineLevel="1" x14ac:dyDescent="0.25">
      <c r="A67" s="672"/>
      <c r="B67" s="673"/>
      <c r="C67" s="673"/>
      <c r="D67" s="80" t="s">
        <v>28</v>
      </c>
      <c r="E67" s="84">
        <f t="shared" ref="E67:E84" si="2">SUM(F67:F67)</f>
        <v>0</v>
      </c>
      <c r="F67" s="134">
        <v>0</v>
      </c>
      <c r="G67" s="134"/>
      <c r="H67" s="134"/>
      <c r="I67" s="134"/>
      <c r="J67" s="134"/>
      <c r="K67" s="134"/>
      <c r="L67" s="134"/>
      <c r="M67" s="134"/>
      <c r="N67" s="134"/>
      <c r="O67" s="134"/>
      <c r="P67" s="134"/>
      <c r="Q67" s="134"/>
      <c r="R67" s="134"/>
      <c r="S67" s="134"/>
      <c r="T67" s="134"/>
      <c r="U67" s="134"/>
      <c r="V67" s="134"/>
      <c r="W67" s="134"/>
      <c r="X67" s="134"/>
      <c r="Y67" s="134"/>
      <c r="Z67" s="134"/>
    </row>
    <row r="68" spans="1:26" hidden="1" outlineLevel="1" x14ac:dyDescent="0.25">
      <c r="A68" s="672"/>
      <c r="B68" s="673"/>
      <c r="C68" s="673"/>
      <c r="D68" s="80" t="s">
        <v>29</v>
      </c>
      <c r="E68" s="84">
        <f t="shared" si="2"/>
        <v>0</v>
      </c>
      <c r="F68" s="134">
        <v>0</v>
      </c>
      <c r="G68" s="134"/>
      <c r="H68" s="134"/>
      <c r="I68" s="134"/>
      <c r="J68" s="134"/>
      <c r="K68" s="134"/>
      <c r="L68" s="134"/>
      <c r="M68" s="134"/>
      <c r="N68" s="134"/>
      <c r="O68" s="134"/>
      <c r="P68" s="134"/>
      <c r="Q68" s="134"/>
      <c r="R68" s="134"/>
      <c r="S68" s="134"/>
      <c r="T68" s="134"/>
      <c r="U68" s="134"/>
      <c r="V68" s="134"/>
      <c r="W68" s="134"/>
      <c r="X68" s="134"/>
      <c r="Y68" s="134"/>
      <c r="Z68" s="134"/>
    </row>
    <row r="69" spans="1:26" hidden="1" outlineLevel="1" x14ac:dyDescent="0.25">
      <c r="A69" s="672"/>
      <c r="B69" s="673"/>
      <c r="C69" s="673"/>
      <c r="D69" s="80" t="s">
        <v>30</v>
      </c>
      <c r="E69" s="84">
        <f t="shared" si="2"/>
        <v>0</v>
      </c>
      <c r="F69" s="134">
        <v>0</v>
      </c>
      <c r="G69" s="134"/>
      <c r="H69" s="134"/>
      <c r="I69" s="134"/>
      <c r="J69" s="134"/>
      <c r="K69" s="134"/>
      <c r="L69" s="134"/>
      <c r="M69" s="134"/>
      <c r="N69" s="134"/>
      <c r="O69" s="134"/>
      <c r="P69" s="134"/>
      <c r="Q69" s="134"/>
      <c r="R69" s="134"/>
      <c r="S69" s="134"/>
      <c r="T69" s="134"/>
      <c r="U69" s="134"/>
      <c r="V69" s="134"/>
      <c r="W69" s="134"/>
      <c r="X69" s="134"/>
      <c r="Y69" s="134"/>
      <c r="Z69" s="134"/>
    </row>
    <row r="70" spans="1:26" hidden="1" outlineLevel="1" x14ac:dyDescent="0.25">
      <c r="A70" s="672"/>
      <c r="B70" s="673"/>
      <c r="C70" s="673"/>
      <c r="D70" s="80" t="s">
        <v>31</v>
      </c>
      <c r="E70" s="84">
        <f t="shared" si="2"/>
        <v>0</v>
      </c>
      <c r="F70" s="134">
        <v>0</v>
      </c>
      <c r="G70" s="134"/>
      <c r="H70" s="134"/>
      <c r="I70" s="134"/>
      <c r="J70" s="134"/>
      <c r="K70" s="134"/>
      <c r="L70" s="134"/>
      <c r="M70" s="134"/>
      <c r="N70" s="134"/>
      <c r="O70" s="134"/>
      <c r="P70" s="134"/>
      <c r="Q70" s="134"/>
      <c r="R70" s="134"/>
      <c r="S70" s="134"/>
      <c r="T70" s="134"/>
      <c r="U70" s="134"/>
      <c r="V70" s="134"/>
      <c r="W70" s="134"/>
      <c r="X70" s="134"/>
      <c r="Y70" s="134"/>
      <c r="Z70" s="134"/>
    </row>
    <row r="71" spans="1:26" hidden="1" outlineLevel="1" x14ac:dyDescent="0.25">
      <c r="A71" s="672"/>
      <c r="B71" s="673"/>
      <c r="C71" s="673"/>
      <c r="D71" s="80" t="s">
        <v>32</v>
      </c>
      <c r="E71" s="84">
        <f t="shared" si="2"/>
        <v>0</v>
      </c>
      <c r="F71" s="134">
        <v>0</v>
      </c>
      <c r="G71" s="134"/>
      <c r="H71" s="134"/>
      <c r="I71" s="134"/>
      <c r="J71" s="134"/>
      <c r="K71" s="134"/>
      <c r="L71" s="134"/>
      <c r="M71" s="134"/>
      <c r="N71" s="134"/>
      <c r="O71" s="134"/>
      <c r="P71" s="134"/>
      <c r="Q71" s="134"/>
      <c r="R71" s="134"/>
      <c r="S71" s="134"/>
      <c r="T71" s="134"/>
      <c r="U71" s="134"/>
      <c r="V71" s="134"/>
      <c r="W71" s="134"/>
      <c r="X71" s="134"/>
      <c r="Y71" s="134"/>
      <c r="Z71" s="134"/>
    </row>
    <row r="72" spans="1:26" hidden="1" outlineLevel="1" x14ac:dyDescent="0.25">
      <c r="A72" s="672"/>
      <c r="B72" s="673"/>
      <c r="C72" s="673"/>
      <c r="D72" s="80" t="s">
        <v>33</v>
      </c>
      <c r="E72" s="84">
        <f t="shared" si="2"/>
        <v>0</v>
      </c>
      <c r="F72" s="134">
        <v>0</v>
      </c>
      <c r="G72" s="134"/>
      <c r="H72" s="134"/>
      <c r="I72" s="134"/>
      <c r="J72" s="134"/>
      <c r="K72" s="134"/>
      <c r="L72" s="134"/>
      <c r="M72" s="134"/>
      <c r="N72" s="134"/>
      <c r="O72" s="134"/>
      <c r="P72" s="134"/>
      <c r="Q72" s="134"/>
      <c r="R72" s="134"/>
      <c r="S72" s="134"/>
      <c r="T72" s="134"/>
      <c r="U72" s="134"/>
      <c r="V72" s="134"/>
      <c r="W72" s="134"/>
      <c r="X72" s="134"/>
      <c r="Y72" s="134"/>
      <c r="Z72" s="134"/>
    </row>
    <row r="73" spans="1:26" hidden="1" outlineLevel="1" x14ac:dyDescent="0.25">
      <c r="A73" s="672"/>
      <c r="B73" s="673"/>
      <c r="C73" s="673"/>
      <c r="D73" s="80" t="s">
        <v>34</v>
      </c>
      <c r="E73" s="84">
        <f t="shared" si="2"/>
        <v>0</v>
      </c>
      <c r="F73" s="134">
        <v>0</v>
      </c>
      <c r="G73" s="134"/>
      <c r="H73" s="134"/>
      <c r="I73" s="134"/>
      <c r="J73" s="134"/>
      <c r="K73" s="134"/>
      <c r="L73" s="134"/>
      <c r="M73" s="134"/>
      <c r="N73" s="134"/>
      <c r="O73" s="134"/>
      <c r="P73" s="134"/>
      <c r="Q73" s="134"/>
      <c r="R73" s="134"/>
      <c r="S73" s="134"/>
      <c r="T73" s="134"/>
      <c r="U73" s="134"/>
      <c r="V73" s="134"/>
      <c r="W73" s="134"/>
      <c r="X73" s="134"/>
      <c r="Y73" s="134"/>
      <c r="Z73" s="134"/>
    </row>
    <row r="74" spans="1:26" ht="15.75" hidden="1" outlineLevel="1" thickBot="1" x14ac:dyDescent="0.3">
      <c r="A74" s="672"/>
      <c r="B74" s="673"/>
      <c r="C74" s="673"/>
      <c r="D74" s="81" t="s">
        <v>35</v>
      </c>
      <c r="E74" s="85">
        <f t="shared" si="2"/>
        <v>0</v>
      </c>
      <c r="F74" s="136">
        <v>0</v>
      </c>
      <c r="G74" s="136"/>
      <c r="H74" s="136"/>
      <c r="I74" s="136"/>
      <c r="J74" s="136"/>
      <c r="K74" s="136"/>
      <c r="L74" s="136"/>
      <c r="M74" s="136"/>
      <c r="N74" s="136"/>
      <c r="O74" s="136"/>
      <c r="P74" s="136"/>
      <c r="Q74" s="136"/>
      <c r="R74" s="136"/>
      <c r="S74" s="136"/>
      <c r="T74" s="136"/>
      <c r="U74" s="136"/>
      <c r="V74" s="136"/>
      <c r="W74" s="136"/>
      <c r="X74" s="136"/>
      <c r="Y74" s="136"/>
      <c r="Z74" s="136"/>
    </row>
    <row r="75" spans="1:26" hidden="1" outlineLevel="1" x14ac:dyDescent="0.25">
      <c r="A75" s="672" t="s">
        <v>91</v>
      </c>
      <c r="B75" s="673" t="s">
        <v>77</v>
      </c>
      <c r="C75" s="673">
        <v>637001</v>
      </c>
      <c r="D75" s="79" t="s">
        <v>26</v>
      </c>
      <c r="E75" s="84">
        <f t="shared" si="2"/>
        <v>0</v>
      </c>
      <c r="F75" s="132">
        <v>0</v>
      </c>
      <c r="G75" s="132"/>
      <c r="H75" s="132"/>
      <c r="I75" s="132"/>
      <c r="J75" s="132"/>
      <c r="K75" s="132"/>
      <c r="L75" s="132"/>
      <c r="M75" s="132"/>
      <c r="N75" s="132"/>
      <c r="O75" s="132"/>
      <c r="P75" s="132"/>
      <c r="Q75" s="132"/>
      <c r="R75" s="132"/>
      <c r="S75" s="132"/>
      <c r="T75" s="132"/>
      <c r="U75" s="132"/>
      <c r="V75" s="132"/>
      <c r="W75" s="132"/>
      <c r="X75" s="132"/>
      <c r="Y75" s="132"/>
      <c r="Z75" s="132"/>
    </row>
    <row r="76" spans="1:26" hidden="1" outlineLevel="1" x14ac:dyDescent="0.25">
      <c r="A76" s="672"/>
      <c r="B76" s="673"/>
      <c r="C76" s="673"/>
      <c r="D76" s="80" t="s">
        <v>27</v>
      </c>
      <c r="E76" s="84">
        <f t="shared" si="2"/>
        <v>0</v>
      </c>
      <c r="F76" s="134">
        <v>0</v>
      </c>
      <c r="G76" s="134"/>
      <c r="H76" s="134"/>
      <c r="I76" s="134"/>
      <c r="J76" s="134"/>
      <c r="K76" s="134"/>
      <c r="L76" s="134"/>
      <c r="M76" s="134"/>
      <c r="N76" s="134"/>
      <c r="O76" s="134"/>
      <c r="P76" s="134"/>
      <c r="Q76" s="134"/>
      <c r="R76" s="134"/>
      <c r="S76" s="134"/>
      <c r="T76" s="134"/>
      <c r="U76" s="134"/>
      <c r="V76" s="134"/>
      <c r="W76" s="134"/>
      <c r="X76" s="134"/>
      <c r="Y76" s="134"/>
      <c r="Z76" s="134"/>
    </row>
    <row r="77" spans="1:26" hidden="1" outlineLevel="1" x14ac:dyDescent="0.25">
      <c r="A77" s="672"/>
      <c r="B77" s="673"/>
      <c r="C77" s="673"/>
      <c r="D77" s="80" t="s">
        <v>28</v>
      </c>
      <c r="E77" s="84">
        <f t="shared" si="2"/>
        <v>0</v>
      </c>
      <c r="F77" s="134">
        <v>0</v>
      </c>
      <c r="G77" s="134"/>
      <c r="H77" s="134"/>
      <c r="I77" s="134"/>
      <c r="J77" s="134"/>
      <c r="K77" s="134"/>
      <c r="L77" s="134"/>
      <c r="M77" s="134"/>
      <c r="N77" s="134"/>
      <c r="O77" s="134"/>
      <c r="P77" s="134"/>
      <c r="Q77" s="134"/>
      <c r="R77" s="134"/>
      <c r="S77" s="134"/>
      <c r="T77" s="134"/>
      <c r="U77" s="134"/>
      <c r="V77" s="134"/>
      <c r="W77" s="134"/>
      <c r="X77" s="134"/>
      <c r="Y77" s="134"/>
      <c r="Z77" s="134"/>
    </row>
    <row r="78" spans="1:26" hidden="1" outlineLevel="1" x14ac:dyDescent="0.25">
      <c r="A78" s="672"/>
      <c r="B78" s="673"/>
      <c r="C78" s="673"/>
      <c r="D78" s="80" t="s">
        <v>29</v>
      </c>
      <c r="E78" s="84">
        <f t="shared" si="2"/>
        <v>0</v>
      </c>
      <c r="F78" s="134">
        <v>0</v>
      </c>
      <c r="G78" s="134"/>
      <c r="H78" s="134"/>
      <c r="I78" s="134"/>
      <c r="J78" s="134"/>
      <c r="K78" s="134"/>
      <c r="L78" s="134"/>
      <c r="M78" s="134"/>
      <c r="N78" s="134"/>
      <c r="O78" s="134"/>
      <c r="P78" s="134"/>
      <c r="Q78" s="134"/>
      <c r="R78" s="134"/>
      <c r="S78" s="134"/>
      <c r="T78" s="134"/>
      <c r="U78" s="134"/>
      <c r="V78" s="134"/>
      <c r="W78" s="134"/>
      <c r="X78" s="134"/>
      <c r="Y78" s="134"/>
      <c r="Z78" s="134"/>
    </row>
    <row r="79" spans="1:26" hidden="1" outlineLevel="1" x14ac:dyDescent="0.25">
      <c r="A79" s="672"/>
      <c r="B79" s="673"/>
      <c r="C79" s="673"/>
      <c r="D79" s="80" t="s">
        <v>30</v>
      </c>
      <c r="E79" s="84">
        <f t="shared" si="2"/>
        <v>0</v>
      </c>
      <c r="F79" s="134">
        <v>0</v>
      </c>
      <c r="G79" s="134"/>
      <c r="H79" s="134"/>
      <c r="I79" s="134"/>
      <c r="J79" s="134"/>
      <c r="K79" s="134"/>
      <c r="L79" s="134"/>
      <c r="M79" s="134"/>
      <c r="N79" s="134"/>
      <c r="O79" s="134"/>
      <c r="P79" s="134"/>
      <c r="Q79" s="134"/>
      <c r="R79" s="134"/>
      <c r="S79" s="134"/>
      <c r="T79" s="134"/>
      <c r="U79" s="134"/>
      <c r="V79" s="134"/>
      <c r="W79" s="134"/>
      <c r="X79" s="134"/>
      <c r="Y79" s="134"/>
      <c r="Z79" s="134"/>
    </row>
    <row r="80" spans="1:26" hidden="1" outlineLevel="1" x14ac:dyDescent="0.25">
      <c r="A80" s="672"/>
      <c r="B80" s="673"/>
      <c r="C80" s="673"/>
      <c r="D80" s="80" t="s">
        <v>31</v>
      </c>
      <c r="E80" s="84">
        <f t="shared" si="2"/>
        <v>0</v>
      </c>
      <c r="F80" s="134">
        <v>0</v>
      </c>
      <c r="G80" s="134"/>
      <c r="H80" s="134"/>
      <c r="I80" s="134"/>
      <c r="J80" s="134"/>
      <c r="K80" s="134"/>
      <c r="L80" s="134"/>
      <c r="M80" s="134"/>
      <c r="N80" s="134"/>
      <c r="O80" s="134"/>
      <c r="P80" s="134"/>
      <c r="Q80" s="134"/>
      <c r="R80" s="134"/>
      <c r="S80" s="134"/>
      <c r="T80" s="134"/>
      <c r="U80" s="134"/>
      <c r="V80" s="134"/>
      <c r="W80" s="134"/>
      <c r="X80" s="134"/>
      <c r="Y80" s="134"/>
      <c r="Z80" s="134"/>
    </row>
    <row r="81" spans="1:26" hidden="1" outlineLevel="1" x14ac:dyDescent="0.25">
      <c r="A81" s="672"/>
      <c r="B81" s="673"/>
      <c r="C81" s="673"/>
      <c r="D81" s="80" t="s">
        <v>32</v>
      </c>
      <c r="E81" s="84">
        <f t="shared" si="2"/>
        <v>0</v>
      </c>
      <c r="F81" s="134">
        <v>0</v>
      </c>
      <c r="G81" s="134"/>
      <c r="H81" s="134"/>
      <c r="I81" s="134"/>
      <c r="J81" s="134"/>
      <c r="K81" s="134"/>
      <c r="L81" s="134"/>
      <c r="M81" s="134"/>
      <c r="N81" s="134"/>
      <c r="O81" s="134"/>
      <c r="P81" s="134"/>
      <c r="Q81" s="134"/>
      <c r="R81" s="134"/>
      <c r="S81" s="134"/>
      <c r="T81" s="134"/>
      <c r="U81" s="134"/>
      <c r="V81" s="134"/>
      <c r="W81" s="134"/>
      <c r="X81" s="134"/>
      <c r="Y81" s="134"/>
      <c r="Z81" s="134"/>
    </row>
    <row r="82" spans="1:26" hidden="1" outlineLevel="1" x14ac:dyDescent="0.25">
      <c r="A82" s="672"/>
      <c r="B82" s="673"/>
      <c r="C82" s="673"/>
      <c r="D82" s="80" t="s">
        <v>33</v>
      </c>
      <c r="E82" s="84">
        <f t="shared" si="2"/>
        <v>0</v>
      </c>
      <c r="F82" s="134">
        <v>0</v>
      </c>
      <c r="G82" s="134"/>
      <c r="H82" s="134"/>
      <c r="I82" s="134"/>
      <c r="J82" s="134"/>
      <c r="K82" s="134"/>
      <c r="L82" s="134"/>
      <c r="M82" s="134"/>
      <c r="N82" s="134"/>
      <c r="O82" s="134"/>
      <c r="P82" s="134"/>
      <c r="Q82" s="134"/>
      <c r="R82" s="134"/>
      <c r="S82" s="134"/>
      <c r="T82" s="134"/>
      <c r="U82" s="134"/>
      <c r="V82" s="134"/>
      <c r="W82" s="134"/>
      <c r="X82" s="134"/>
      <c r="Y82" s="134"/>
      <c r="Z82" s="134"/>
    </row>
    <row r="83" spans="1:26" hidden="1" outlineLevel="1" x14ac:dyDescent="0.25">
      <c r="A83" s="672"/>
      <c r="B83" s="673"/>
      <c r="C83" s="673"/>
      <c r="D83" s="80" t="s">
        <v>34</v>
      </c>
      <c r="E83" s="84">
        <f t="shared" si="2"/>
        <v>0</v>
      </c>
      <c r="F83" s="134">
        <v>0</v>
      </c>
      <c r="G83" s="134"/>
      <c r="H83" s="134"/>
      <c r="I83" s="134"/>
      <c r="J83" s="134"/>
      <c r="K83" s="134"/>
      <c r="L83" s="134"/>
      <c r="M83" s="134"/>
      <c r="N83" s="134"/>
      <c r="O83" s="134"/>
      <c r="P83" s="134"/>
      <c r="Q83" s="134"/>
      <c r="R83" s="134"/>
      <c r="S83" s="134"/>
      <c r="T83" s="134"/>
      <c r="U83" s="134"/>
      <c r="V83" s="134"/>
      <c r="W83" s="134"/>
      <c r="X83" s="134"/>
      <c r="Y83" s="134"/>
      <c r="Z83" s="134"/>
    </row>
    <row r="84" spans="1:26" ht="15.75" hidden="1" outlineLevel="1" thickBot="1" x14ac:dyDescent="0.3">
      <c r="A84" s="672"/>
      <c r="B84" s="673"/>
      <c r="C84" s="673"/>
      <c r="D84" s="81" t="s">
        <v>35</v>
      </c>
      <c r="E84" s="85">
        <f t="shared" si="2"/>
        <v>0</v>
      </c>
      <c r="F84" s="136">
        <v>0</v>
      </c>
      <c r="G84" s="136"/>
      <c r="H84" s="136"/>
      <c r="I84" s="136"/>
      <c r="J84" s="136"/>
      <c r="K84" s="136"/>
      <c r="L84" s="136"/>
      <c r="M84" s="136"/>
      <c r="N84" s="136"/>
      <c r="O84" s="136"/>
      <c r="P84" s="136"/>
      <c r="Q84" s="136"/>
      <c r="R84" s="136"/>
      <c r="S84" s="136"/>
      <c r="T84" s="136"/>
      <c r="U84" s="136"/>
      <c r="V84" s="136"/>
      <c r="W84" s="136"/>
      <c r="X84" s="136"/>
      <c r="Y84" s="136"/>
      <c r="Z84" s="136"/>
    </row>
  </sheetData>
  <mergeCells count="27">
    <mergeCell ref="A3:C3"/>
    <mergeCell ref="A24:A33"/>
    <mergeCell ref="B24:B33"/>
    <mergeCell ref="C24:C33"/>
    <mergeCell ref="A34:C34"/>
    <mergeCell ref="A4:A13"/>
    <mergeCell ref="B4:B13"/>
    <mergeCell ref="C4:C13"/>
    <mergeCell ref="A14:A23"/>
    <mergeCell ref="B14:B23"/>
    <mergeCell ref="C14:C23"/>
    <mergeCell ref="A1:D1"/>
    <mergeCell ref="A65:A74"/>
    <mergeCell ref="B65:B74"/>
    <mergeCell ref="C65:C74"/>
    <mergeCell ref="A75:A84"/>
    <mergeCell ref="B75:B84"/>
    <mergeCell ref="C75:C84"/>
    <mergeCell ref="A45:A54"/>
    <mergeCell ref="B45:B54"/>
    <mergeCell ref="C45:C54"/>
    <mergeCell ref="A55:A64"/>
    <mergeCell ref="B55:B64"/>
    <mergeCell ref="C55:C64"/>
    <mergeCell ref="A35:A44"/>
    <mergeCell ref="B35:B44"/>
    <mergeCell ref="C35:C44"/>
  </mergeCells>
  <pageMargins left="0.7" right="0.7" top="0.75" bottom="0.75" header="0.3" footer="0.3"/>
  <pageSetup paperSize="9" orientation="portrait" r:id="rId1"/>
  <ignoredErrors>
    <ignoredError sqref="E34"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DA32E-1DBD-4E65-9C58-2A4F50E14C84}">
  <dimension ref="A1:J122"/>
  <sheetViews>
    <sheetView topLeftCell="A67" zoomScaleNormal="100" workbookViewId="0">
      <selection activeCell="I90" sqref="I90"/>
    </sheetView>
  </sheetViews>
  <sheetFormatPr defaultColWidth="69.7109375" defaultRowHeight="15" x14ac:dyDescent="0.25"/>
  <cols>
    <col min="1" max="1" width="52.7109375" customWidth="1"/>
    <col min="2" max="2" width="55.28515625" customWidth="1"/>
    <col min="3" max="3" width="22.85546875" customWidth="1"/>
    <col min="4" max="4" width="31.5703125" customWidth="1"/>
    <col min="5" max="5" width="21.85546875" customWidth="1"/>
    <col min="6" max="6" width="20.28515625" customWidth="1"/>
    <col min="7" max="7" width="22.140625" bestFit="1" customWidth="1"/>
    <col min="8" max="8" width="21.85546875" style="442" customWidth="1"/>
    <col min="9" max="9" width="22.42578125" customWidth="1"/>
    <col min="10" max="10" width="0" hidden="1" customWidth="1"/>
    <col min="11" max="11" width="21" customWidth="1"/>
  </cols>
  <sheetData>
    <row r="1" spans="1:10" x14ac:dyDescent="0.25">
      <c r="A1" s="82" t="s">
        <v>256</v>
      </c>
      <c r="B1" s="82" t="s">
        <v>257</v>
      </c>
      <c r="C1" s="82" t="s">
        <v>258</v>
      </c>
      <c r="D1" s="82" t="s">
        <v>259</v>
      </c>
      <c r="E1" s="82" t="s">
        <v>120</v>
      </c>
      <c r="F1" s="82" t="s">
        <v>260</v>
      </c>
      <c r="G1" s="82" t="s">
        <v>261</v>
      </c>
      <c r="H1" s="436" t="s">
        <v>121</v>
      </c>
      <c r="I1" s="82" t="s">
        <v>122</v>
      </c>
      <c r="J1" s="437" t="s">
        <v>262</v>
      </c>
    </row>
    <row r="2" spans="1:10" ht="15.75" thickBot="1" x14ac:dyDescent="0.3">
      <c r="A2" s="681" t="s">
        <v>263</v>
      </c>
      <c r="B2" s="681"/>
      <c r="C2" s="681"/>
      <c r="D2" s="681"/>
      <c r="E2" s="681"/>
      <c r="F2" s="681"/>
      <c r="G2" s="681"/>
      <c r="H2" s="681"/>
      <c r="I2" s="681"/>
    </row>
    <row r="3" spans="1:10" ht="19.5" thickBot="1" x14ac:dyDescent="0.3">
      <c r="B3" s="438" t="s">
        <v>264</v>
      </c>
      <c r="C3" s="584" t="s">
        <v>669</v>
      </c>
      <c r="D3" s="584" t="s">
        <v>668</v>
      </c>
      <c r="E3" s="438">
        <v>280</v>
      </c>
      <c r="F3" s="438">
        <v>416</v>
      </c>
      <c r="G3" s="439">
        <f>ROUNDUP( I3/H3/F3,0)</f>
        <v>1</v>
      </c>
      <c r="H3" s="440">
        <f>Zdroje!D9</f>
        <v>576</v>
      </c>
      <c r="I3" s="585">
        <v>170880</v>
      </c>
      <c r="J3" s="441">
        <f>E3*H3</f>
        <v>161280</v>
      </c>
    </row>
    <row r="4" spans="1:10" ht="15.75" thickBot="1" x14ac:dyDescent="0.3">
      <c r="A4" s="681" t="s">
        <v>643</v>
      </c>
      <c r="B4" s="681"/>
      <c r="C4" s="681"/>
      <c r="D4" s="681"/>
      <c r="E4" s="681"/>
      <c r="F4" s="681"/>
      <c r="G4" s="681"/>
      <c r="H4" s="681"/>
      <c r="I4" s="681"/>
    </row>
    <row r="5" spans="1:10" ht="19.5" thickBot="1" x14ac:dyDescent="0.3">
      <c r="B5" s="438" t="s">
        <v>265</v>
      </c>
      <c r="C5" s="584" t="s">
        <v>672</v>
      </c>
      <c r="D5" s="584" t="s">
        <v>696</v>
      </c>
      <c r="E5" s="438">
        <v>55.25</v>
      </c>
      <c r="F5" s="438">
        <v>148.5</v>
      </c>
      <c r="G5" s="439">
        <f>ROUNDUP( I5/H5/F5,0)</f>
        <v>1</v>
      </c>
      <c r="H5" s="440">
        <f>Zdroje!$D$3</f>
        <v>864</v>
      </c>
      <c r="I5" s="585">
        <v>47736</v>
      </c>
      <c r="J5" s="441">
        <f t="shared" ref="J5:J8" si="0">E5*H5</f>
        <v>47736</v>
      </c>
    </row>
    <row r="6" spans="1:10" ht="19.5" thickBot="1" x14ac:dyDescent="0.3">
      <c r="B6" s="438" t="s">
        <v>266</v>
      </c>
      <c r="C6" s="584" t="s">
        <v>642</v>
      </c>
      <c r="D6" s="584" t="s">
        <v>688</v>
      </c>
      <c r="E6" s="438">
        <v>57.6</v>
      </c>
      <c r="F6" s="438">
        <v>161</v>
      </c>
      <c r="G6" s="439">
        <f>ROUNDUP( I6/H6/F6,0)</f>
        <v>1</v>
      </c>
      <c r="H6" s="440">
        <f>Zdroje!$D$4</f>
        <v>720</v>
      </c>
      <c r="I6" s="585">
        <v>47923.199999999997</v>
      </c>
      <c r="J6" s="441">
        <f t="shared" si="0"/>
        <v>41472</v>
      </c>
    </row>
    <row r="7" spans="1:10" ht="19.5" thickBot="1" x14ac:dyDescent="0.3">
      <c r="B7" s="438" t="s">
        <v>267</v>
      </c>
      <c r="C7" s="584" t="s">
        <v>659</v>
      </c>
      <c r="D7" s="584" t="s">
        <v>663</v>
      </c>
      <c r="E7" s="438">
        <v>280</v>
      </c>
      <c r="F7" s="438">
        <v>154</v>
      </c>
      <c r="G7" s="439">
        <f>ROUNDUP( I7/H7/F7,0)</f>
        <v>2</v>
      </c>
      <c r="H7" s="440">
        <f>Zdroje!$D$5</f>
        <v>672</v>
      </c>
      <c r="I7" s="585">
        <v>188160</v>
      </c>
      <c r="J7" s="441">
        <f t="shared" si="0"/>
        <v>188160</v>
      </c>
    </row>
    <row r="8" spans="1:10" ht="19.5" thickBot="1" x14ac:dyDescent="0.3">
      <c r="B8" s="438" t="s">
        <v>268</v>
      </c>
      <c r="C8" s="584" t="s">
        <v>661</v>
      </c>
      <c r="D8" s="584" t="s">
        <v>685</v>
      </c>
      <c r="E8" s="438">
        <v>36</v>
      </c>
      <c r="F8" s="438">
        <v>96</v>
      </c>
      <c r="G8" s="439">
        <f>ROUNDUP( I8/H8/F8,0)</f>
        <v>1</v>
      </c>
      <c r="H8" s="440">
        <f>Zdroje!$D$6</f>
        <v>576</v>
      </c>
      <c r="I8" s="585">
        <v>20736</v>
      </c>
      <c r="J8" s="441">
        <f t="shared" si="0"/>
        <v>20736</v>
      </c>
    </row>
    <row r="9" spans="1:10" ht="15.75" thickBot="1" x14ac:dyDescent="0.3">
      <c r="A9" s="681" t="s">
        <v>271</v>
      </c>
      <c r="B9" s="681"/>
      <c r="C9" s="681"/>
      <c r="D9" s="681"/>
      <c r="E9" s="681"/>
      <c r="F9" s="681"/>
      <c r="G9" s="681"/>
      <c r="H9" s="681"/>
      <c r="I9" s="681"/>
    </row>
    <row r="10" spans="1:10" ht="19.5" thickBot="1" x14ac:dyDescent="0.3">
      <c r="B10" s="438" t="s">
        <v>272</v>
      </c>
      <c r="C10" s="584" t="s">
        <v>670</v>
      </c>
      <c r="D10" s="584" t="s">
        <v>651</v>
      </c>
      <c r="E10" s="438">
        <v>135.5</v>
      </c>
      <c r="F10" s="438">
        <v>250</v>
      </c>
      <c r="G10" s="439">
        <f>ROUNDUP( I10/H10/F10,0)</f>
        <v>1</v>
      </c>
      <c r="H10" s="440">
        <f>Zdroje!D11</f>
        <v>864</v>
      </c>
      <c r="I10" s="585">
        <v>117072</v>
      </c>
      <c r="J10" s="441">
        <f t="shared" ref="J10" si="1">E10*H10</f>
        <v>117072</v>
      </c>
    </row>
    <row r="11" spans="1:10" ht="15.75" thickBot="1" x14ac:dyDescent="0.3">
      <c r="A11" s="681" t="s">
        <v>273</v>
      </c>
      <c r="B11" s="681"/>
      <c r="C11" s="681"/>
      <c r="D11" s="681"/>
      <c r="E11" s="681"/>
      <c r="F11" s="681"/>
      <c r="G11" s="681"/>
      <c r="H11" s="681"/>
      <c r="I11" s="681"/>
      <c r="J11" s="441"/>
    </row>
    <row r="12" spans="1:10" ht="19.5" thickBot="1" x14ac:dyDescent="0.3">
      <c r="B12" s="438" t="s">
        <v>334</v>
      </c>
      <c r="C12" s="584" t="s">
        <v>333</v>
      </c>
      <c r="D12" s="584" t="s">
        <v>668</v>
      </c>
      <c r="E12" s="438"/>
      <c r="F12" s="438">
        <v>451</v>
      </c>
      <c r="G12" s="439"/>
      <c r="H12" s="440"/>
      <c r="I12" s="585">
        <v>187232.93</v>
      </c>
      <c r="J12" s="441">
        <f>I12</f>
        <v>187232.93</v>
      </c>
    </row>
    <row r="13" spans="1:10" ht="19.5" thickBot="1" x14ac:dyDescent="0.3">
      <c r="B13" s="438" t="s">
        <v>335</v>
      </c>
      <c r="C13" s="584" t="s">
        <v>333</v>
      </c>
      <c r="D13" s="584" t="s">
        <v>668</v>
      </c>
      <c r="E13" s="438"/>
      <c r="F13" s="438">
        <v>451</v>
      </c>
      <c r="G13" s="439"/>
      <c r="H13" s="440"/>
      <c r="I13" s="585">
        <v>26747.56</v>
      </c>
      <c r="J13" s="441">
        <f>I13</f>
        <v>26747.56</v>
      </c>
    </row>
    <row r="14" spans="1:10" ht="19.5" thickBot="1" x14ac:dyDescent="0.3">
      <c r="B14" s="438" t="s">
        <v>274</v>
      </c>
      <c r="C14" s="584" t="s">
        <v>333</v>
      </c>
      <c r="D14" s="584" t="s">
        <v>668</v>
      </c>
      <c r="E14" s="438"/>
      <c r="F14" s="438">
        <v>451</v>
      </c>
      <c r="G14" s="439"/>
      <c r="H14" s="440"/>
      <c r="I14" s="585">
        <v>106990.25</v>
      </c>
      <c r="J14" s="441">
        <f>I14</f>
        <v>106990.25</v>
      </c>
    </row>
    <row r="15" spans="1:10" ht="19.5" thickBot="1" x14ac:dyDescent="0.3">
      <c r="B15" s="438" t="s">
        <v>275</v>
      </c>
      <c r="C15" s="584" t="s">
        <v>333</v>
      </c>
      <c r="D15" s="584" t="s">
        <v>668</v>
      </c>
      <c r="E15" s="438"/>
      <c r="F15" s="438">
        <v>451</v>
      </c>
      <c r="G15" s="439"/>
      <c r="H15" s="440"/>
      <c r="I15" s="585">
        <v>53495.12</v>
      </c>
      <c r="J15" s="441">
        <f>I15</f>
        <v>53495.12</v>
      </c>
    </row>
    <row r="16" spans="1:10" ht="15.75" thickBot="1" x14ac:dyDescent="0.3">
      <c r="A16" s="681" t="s">
        <v>337</v>
      </c>
      <c r="B16" s="681"/>
      <c r="C16" s="681"/>
      <c r="D16" s="681"/>
      <c r="E16" s="681"/>
      <c r="F16" s="681"/>
      <c r="G16" s="681"/>
      <c r="H16" s="681"/>
      <c r="I16" s="681"/>
    </row>
    <row r="17" spans="1:10" ht="19.5" thickBot="1" x14ac:dyDescent="0.3">
      <c r="B17" s="438" t="s">
        <v>265</v>
      </c>
      <c r="C17" s="584" t="s">
        <v>671</v>
      </c>
      <c r="D17" s="584" t="s">
        <v>669</v>
      </c>
      <c r="E17" s="438">
        <v>5</v>
      </c>
      <c r="F17" s="438">
        <v>24</v>
      </c>
      <c r="G17" s="439">
        <f>ROUNDUP( I17/H17/F17,0)</f>
        <v>1</v>
      </c>
      <c r="H17" s="440">
        <f>Zdroje!$D$3</f>
        <v>864</v>
      </c>
      <c r="I17" s="585">
        <v>19968</v>
      </c>
      <c r="J17" s="441">
        <f t="shared" ref="J17:J20" si="2">E17*H17</f>
        <v>4320</v>
      </c>
    </row>
    <row r="18" spans="1:10" ht="19.5" thickBot="1" x14ac:dyDescent="0.3">
      <c r="B18" s="438" t="s">
        <v>266</v>
      </c>
      <c r="C18" s="584" t="s">
        <v>672</v>
      </c>
      <c r="D18" s="584" t="s">
        <v>673</v>
      </c>
      <c r="E18" s="438">
        <v>72</v>
      </c>
      <c r="F18" s="438">
        <v>145.5</v>
      </c>
      <c r="G18" s="439">
        <f>ROUNDUP( I18/H18/F18,0)</f>
        <v>1</v>
      </c>
      <c r="H18" s="440">
        <f>Zdroje!$D$4</f>
        <v>720</v>
      </c>
      <c r="I18" s="585">
        <v>60480</v>
      </c>
      <c r="J18" s="441">
        <f t="shared" si="2"/>
        <v>51840</v>
      </c>
    </row>
    <row r="19" spans="1:10" ht="19.5" thickBot="1" x14ac:dyDescent="0.3">
      <c r="B19" s="438" t="s">
        <v>268</v>
      </c>
      <c r="C19" s="584" t="s">
        <v>661</v>
      </c>
      <c r="D19" s="584" t="s">
        <v>674</v>
      </c>
      <c r="E19" s="438">
        <v>40</v>
      </c>
      <c r="F19" s="438">
        <v>95</v>
      </c>
      <c r="G19" s="439">
        <f>ROUNDUP( I19/H19/F19,0)</f>
        <v>1</v>
      </c>
      <c r="H19" s="440">
        <f>Zdroje!D2</f>
        <v>768</v>
      </c>
      <c r="I19" s="585">
        <v>23040</v>
      </c>
      <c r="J19" s="441"/>
    </row>
    <row r="20" spans="1:10" ht="19.5" thickBot="1" x14ac:dyDescent="0.3">
      <c r="B20" s="438" t="s">
        <v>269</v>
      </c>
      <c r="C20" s="584" t="s">
        <v>657</v>
      </c>
      <c r="D20" s="584" t="s">
        <v>647</v>
      </c>
      <c r="E20" s="438">
        <v>50</v>
      </c>
      <c r="F20" s="438">
        <v>309</v>
      </c>
      <c r="G20" s="439">
        <f>ROUNDUP( I20/H20/F20,0)</f>
        <v>1</v>
      </c>
      <c r="H20" s="440">
        <f>Zdroje!$D$7</f>
        <v>624</v>
      </c>
      <c r="I20" s="585">
        <v>31200</v>
      </c>
      <c r="J20" s="441">
        <f t="shared" si="2"/>
        <v>31200</v>
      </c>
    </row>
    <row r="21" spans="1:10" ht="15.75" thickBot="1" x14ac:dyDescent="0.3">
      <c r="A21" s="681" t="s">
        <v>338</v>
      </c>
      <c r="B21" s="681"/>
      <c r="C21" s="681"/>
      <c r="D21" s="681"/>
      <c r="E21" s="681"/>
      <c r="F21" s="681"/>
      <c r="G21" s="681"/>
      <c r="H21" s="681"/>
      <c r="I21" s="681"/>
    </row>
    <row r="22" spans="1:10" ht="19.5" thickBot="1" x14ac:dyDescent="0.3">
      <c r="B22" s="438" t="s">
        <v>265</v>
      </c>
      <c r="C22" s="584"/>
      <c r="D22" s="584"/>
      <c r="E22" s="438"/>
      <c r="F22" s="438"/>
      <c r="G22" s="439"/>
      <c r="H22" s="440">
        <f>Zdroje!$D$3</f>
        <v>864</v>
      </c>
      <c r="I22" s="585">
        <v>0</v>
      </c>
    </row>
    <row r="23" spans="1:10" ht="19.5" thickBot="1" x14ac:dyDescent="0.3">
      <c r="B23" s="438" t="s">
        <v>266</v>
      </c>
      <c r="C23" s="584"/>
      <c r="D23" s="584"/>
      <c r="E23" s="438"/>
      <c r="F23" s="438"/>
      <c r="G23" s="439"/>
      <c r="H23" s="440">
        <f>Zdroje!$D$4</f>
        <v>720</v>
      </c>
      <c r="I23" s="585">
        <v>0</v>
      </c>
    </row>
    <row r="24" spans="1:10" ht="19.5" thickBot="1" x14ac:dyDescent="0.3">
      <c r="B24" s="438" t="s">
        <v>267</v>
      </c>
      <c r="C24" s="584"/>
      <c r="D24" s="584"/>
      <c r="E24" s="438"/>
      <c r="F24" s="438"/>
      <c r="G24" s="439"/>
      <c r="H24" s="440">
        <f>Zdroje!$D$5</f>
        <v>672</v>
      </c>
      <c r="I24" s="585">
        <v>0</v>
      </c>
    </row>
    <row r="25" spans="1:10" ht="19.5" thickBot="1" x14ac:dyDescent="0.3">
      <c r="B25" s="438" t="s">
        <v>268</v>
      </c>
      <c r="C25" s="584"/>
      <c r="D25" s="584"/>
      <c r="E25" s="438"/>
      <c r="F25" s="438"/>
      <c r="G25" s="439"/>
      <c r="H25" s="440">
        <f>Zdroje!D9</f>
        <v>576</v>
      </c>
      <c r="I25" s="585">
        <v>0</v>
      </c>
      <c r="J25" s="441">
        <f>C25*H25</f>
        <v>0</v>
      </c>
    </row>
    <row r="26" spans="1:10" ht="15.75" thickBot="1" x14ac:dyDescent="0.3">
      <c r="A26" s="681" t="s">
        <v>276</v>
      </c>
      <c r="B26" s="681"/>
      <c r="C26" s="681"/>
      <c r="D26" s="681"/>
      <c r="E26" s="681"/>
      <c r="F26" s="681"/>
      <c r="G26" s="681"/>
      <c r="H26" s="681"/>
      <c r="I26" s="681"/>
      <c r="J26" s="441"/>
    </row>
    <row r="27" spans="1:10" ht="19.5" thickBot="1" x14ac:dyDescent="0.3">
      <c r="B27" s="438" t="s">
        <v>644</v>
      </c>
      <c r="C27" s="584" t="s">
        <v>333</v>
      </c>
      <c r="D27" s="584" t="s">
        <v>691</v>
      </c>
      <c r="E27" s="438">
        <v>468.5</v>
      </c>
      <c r="F27" s="438">
        <v>443.5</v>
      </c>
      <c r="G27" s="439">
        <f xml:space="preserve"> I27/H27/F27</f>
        <v>1.056369785794814</v>
      </c>
      <c r="H27" s="440">
        <f>Zdroje!D2</f>
        <v>768</v>
      </c>
      <c r="I27" s="585">
        <v>359808</v>
      </c>
      <c r="J27" s="441">
        <f t="shared" ref="J27:J60" si="3">E27*H27</f>
        <v>359808</v>
      </c>
    </row>
    <row r="28" spans="1:10" ht="15.75" thickBot="1" x14ac:dyDescent="0.3">
      <c r="A28" s="681" t="s">
        <v>336</v>
      </c>
      <c r="B28" s="681"/>
      <c r="C28" s="681"/>
      <c r="D28" s="681"/>
      <c r="E28" s="681"/>
      <c r="F28" s="681"/>
      <c r="G28" s="681"/>
      <c r="H28" s="681"/>
      <c r="I28" s="681"/>
    </row>
    <row r="29" spans="1:10" ht="19.5" thickBot="1" x14ac:dyDescent="0.3">
      <c r="B29" s="438" t="s">
        <v>265</v>
      </c>
      <c r="C29" s="584" t="s">
        <v>672</v>
      </c>
      <c r="D29" s="584" t="s">
        <v>687</v>
      </c>
      <c r="E29" s="438">
        <v>54.75</v>
      </c>
      <c r="F29" s="438">
        <v>147.5</v>
      </c>
      <c r="G29" s="439">
        <f>ROUNDUP( I29/H29/F29,0)</f>
        <v>1</v>
      </c>
      <c r="H29" s="440">
        <f>Zdroje!$D$3</f>
        <v>864</v>
      </c>
      <c r="I29" s="585">
        <v>47304</v>
      </c>
      <c r="J29" s="441">
        <f t="shared" si="3"/>
        <v>47304</v>
      </c>
    </row>
    <row r="30" spans="1:10" ht="19.5" thickBot="1" x14ac:dyDescent="0.3">
      <c r="B30" s="438" t="s">
        <v>266</v>
      </c>
      <c r="C30" s="584" t="s">
        <v>642</v>
      </c>
      <c r="D30" s="584" t="s">
        <v>688</v>
      </c>
      <c r="E30" s="438">
        <v>52.8</v>
      </c>
      <c r="F30" s="438">
        <v>161</v>
      </c>
      <c r="G30" s="439">
        <f>ROUNDUP( I30/H30/F30,0)</f>
        <v>1</v>
      </c>
      <c r="H30" s="440">
        <f>Zdroje!$D$4</f>
        <v>720</v>
      </c>
      <c r="I30" s="585">
        <v>43929.599999999999</v>
      </c>
      <c r="J30" s="441">
        <f t="shared" si="3"/>
        <v>38016</v>
      </c>
    </row>
    <row r="31" spans="1:10" ht="19.5" thickBot="1" x14ac:dyDescent="0.3">
      <c r="B31" s="438" t="s">
        <v>267</v>
      </c>
      <c r="C31" s="584" t="s">
        <v>659</v>
      </c>
      <c r="D31" s="584" t="s">
        <v>689</v>
      </c>
      <c r="E31" s="438">
        <v>184</v>
      </c>
      <c r="F31" s="438">
        <v>142</v>
      </c>
      <c r="G31" s="439">
        <f>ROUNDUP( I31/H31/F31,0)</f>
        <v>2</v>
      </c>
      <c r="H31" s="440">
        <f>Zdroje!$D$5</f>
        <v>672</v>
      </c>
      <c r="I31" s="585">
        <v>123648</v>
      </c>
      <c r="J31" s="441">
        <f t="shared" si="3"/>
        <v>123648</v>
      </c>
    </row>
    <row r="32" spans="1:10" ht="19.5" thickBot="1" x14ac:dyDescent="0.3">
      <c r="B32" s="438" t="s">
        <v>268</v>
      </c>
      <c r="C32" s="584" t="s">
        <v>650</v>
      </c>
      <c r="D32" s="584" t="s">
        <v>652</v>
      </c>
      <c r="E32" s="438">
        <v>32</v>
      </c>
      <c r="F32" s="438">
        <v>96</v>
      </c>
      <c r="G32" s="439">
        <f>ROUNDUP( I32/H32/F32,0)</f>
        <v>1</v>
      </c>
      <c r="H32" s="440">
        <f>Zdroje!$D$6</f>
        <v>576</v>
      </c>
      <c r="I32" s="585">
        <v>18432</v>
      </c>
      <c r="J32" s="441">
        <f>E32*H32</f>
        <v>18432</v>
      </c>
    </row>
    <row r="33" spans="1:10" ht="19.5" thickBot="1" x14ac:dyDescent="0.3">
      <c r="B33" s="438" t="s">
        <v>269</v>
      </c>
      <c r="C33" s="584" t="s">
        <v>661</v>
      </c>
      <c r="D33" s="584" t="s">
        <v>685</v>
      </c>
      <c r="E33" s="438">
        <v>155</v>
      </c>
      <c r="F33" s="438">
        <v>389</v>
      </c>
      <c r="G33" s="439">
        <f>ROUNDUP( I33/H33/F33,0)</f>
        <v>1</v>
      </c>
      <c r="H33" s="440">
        <f>Zdroje!$D$7</f>
        <v>624</v>
      </c>
      <c r="I33" s="585">
        <v>107520</v>
      </c>
      <c r="J33" s="441">
        <f>E33*H33</f>
        <v>96720</v>
      </c>
    </row>
    <row r="34" spans="1:10" ht="15.75" thickBot="1" x14ac:dyDescent="0.3">
      <c r="A34" s="681" t="s">
        <v>645</v>
      </c>
      <c r="B34" s="681"/>
      <c r="C34" s="681"/>
      <c r="D34" s="681"/>
      <c r="E34" s="681"/>
      <c r="F34" s="681"/>
      <c r="G34" s="681"/>
      <c r="H34" s="681"/>
      <c r="I34" s="681"/>
    </row>
    <row r="35" spans="1:10" ht="19.5" thickBot="1" x14ac:dyDescent="0.3">
      <c r="B35" s="438" t="s">
        <v>646</v>
      </c>
      <c r="C35" s="584" t="s">
        <v>642</v>
      </c>
      <c r="D35" s="584" t="s">
        <v>690</v>
      </c>
      <c r="E35" s="438">
        <v>147</v>
      </c>
      <c r="F35" s="438">
        <v>420</v>
      </c>
      <c r="G35" s="439">
        <f>ROUNDUP( I35/H35/F35,0)</f>
        <v>1</v>
      </c>
      <c r="H35" s="440">
        <f>Zdroje!D10</f>
        <v>864</v>
      </c>
      <c r="I35" s="585">
        <v>127008</v>
      </c>
      <c r="J35" s="441">
        <f t="shared" si="3"/>
        <v>127008</v>
      </c>
    </row>
    <row r="36" spans="1:10" ht="15.75" thickBot="1" x14ac:dyDescent="0.3">
      <c r="A36" s="681" t="s">
        <v>339</v>
      </c>
      <c r="B36" s="681"/>
      <c r="C36" s="681"/>
      <c r="D36" s="681"/>
      <c r="E36" s="681"/>
      <c r="F36" s="681"/>
      <c r="G36" s="681"/>
      <c r="H36" s="681"/>
      <c r="I36" s="681"/>
    </row>
    <row r="37" spans="1:10" ht="19.5" thickBot="1" x14ac:dyDescent="0.3">
      <c r="B37" s="438" t="s">
        <v>265</v>
      </c>
      <c r="C37" s="584" t="s">
        <v>672</v>
      </c>
      <c r="D37" s="584" t="s">
        <v>675</v>
      </c>
      <c r="E37" s="438">
        <v>77.25</v>
      </c>
      <c r="F37" s="438">
        <v>149.5</v>
      </c>
      <c r="G37" s="439">
        <f>ROUNDUP( I37/H37/F37,0)</f>
        <v>1</v>
      </c>
      <c r="H37" s="440">
        <f>Zdroje!$D$3</f>
        <v>864</v>
      </c>
      <c r="I37" s="585">
        <v>66744</v>
      </c>
      <c r="J37" s="441">
        <f t="shared" si="3"/>
        <v>66744</v>
      </c>
    </row>
    <row r="38" spans="1:10" ht="19.5" thickBot="1" x14ac:dyDescent="0.3">
      <c r="B38" s="438" t="s">
        <v>266</v>
      </c>
      <c r="C38" s="584" t="s">
        <v>642</v>
      </c>
      <c r="D38" s="584" t="s">
        <v>654</v>
      </c>
      <c r="E38" s="438">
        <v>83.2</v>
      </c>
      <c r="F38" s="438">
        <v>165</v>
      </c>
      <c r="G38" s="439">
        <f>ROUNDUP( I38/H38/F38,0)</f>
        <v>1</v>
      </c>
      <c r="H38" s="440">
        <f>Zdroje!$D$4</f>
        <v>720</v>
      </c>
      <c r="I38" s="585">
        <v>64742.400000000001</v>
      </c>
      <c r="J38" s="441">
        <f t="shared" si="3"/>
        <v>59904</v>
      </c>
    </row>
    <row r="39" spans="1:10" ht="19.5" thickBot="1" x14ac:dyDescent="0.3">
      <c r="B39" s="438" t="s">
        <v>267</v>
      </c>
      <c r="C39" s="584" t="s">
        <v>657</v>
      </c>
      <c r="D39" s="584" t="s">
        <v>676</v>
      </c>
      <c r="E39" s="438">
        <v>320</v>
      </c>
      <c r="F39" s="438">
        <v>200</v>
      </c>
      <c r="G39" s="439">
        <f>ROUNDUP( I39/H39/F39,0)</f>
        <v>2</v>
      </c>
      <c r="H39" s="440">
        <f>Zdroje!$D$5</f>
        <v>672</v>
      </c>
      <c r="I39" s="585">
        <v>215040</v>
      </c>
      <c r="J39" s="441">
        <f t="shared" si="3"/>
        <v>215040</v>
      </c>
    </row>
    <row r="40" spans="1:10" ht="19.5" thickBot="1" x14ac:dyDescent="0.3">
      <c r="B40" s="438" t="s">
        <v>268</v>
      </c>
      <c r="C40" s="584" t="s">
        <v>661</v>
      </c>
      <c r="D40" s="584" t="s">
        <v>662</v>
      </c>
      <c r="E40" s="438">
        <v>25</v>
      </c>
      <c r="F40" s="438">
        <v>176</v>
      </c>
      <c r="G40" s="439">
        <f>ROUNDUP( I40/H40/F40,0)</f>
        <v>1</v>
      </c>
      <c r="H40" s="440">
        <f>Zdroje!$D$6</f>
        <v>576</v>
      </c>
      <c r="I40" s="585">
        <v>14400</v>
      </c>
      <c r="J40" s="441">
        <f t="shared" si="3"/>
        <v>14400</v>
      </c>
    </row>
    <row r="41" spans="1:10" ht="15.75" thickBot="1" x14ac:dyDescent="0.3">
      <c r="A41" s="681" t="s">
        <v>340</v>
      </c>
      <c r="B41" s="681"/>
      <c r="C41" s="681"/>
      <c r="D41" s="681"/>
      <c r="E41" s="681"/>
      <c r="F41" s="681"/>
      <c r="G41" s="681"/>
      <c r="H41" s="681"/>
      <c r="I41" s="681"/>
    </row>
    <row r="42" spans="1:10" ht="19.5" thickBot="1" x14ac:dyDescent="0.3">
      <c r="B42" s="438" t="s">
        <v>265</v>
      </c>
      <c r="C42" s="584" t="s">
        <v>672</v>
      </c>
      <c r="D42" s="584" t="s">
        <v>677</v>
      </c>
      <c r="E42" s="438">
        <v>53.75</v>
      </c>
      <c r="F42" s="438">
        <v>150.5</v>
      </c>
      <c r="G42" s="439">
        <f>ROUNDUP( I42/H42/F42,0)</f>
        <v>1</v>
      </c>
      <c r="H42" s="440">
        <f>Zdroje!$D$3</f>
        <v>864</v>
      </c>
      <c r="I42" s="585">
        <v>46440</v>
      </c>
      <c r="J42" s="441">
        <f t="shared" si="3"/>
        <v>46440</v>
      </c>
    </row>
    <row r="43" spans="1:10" ht="19.5" thickBot="1" x14ac:dyDescent="0.3">
      <c r="B43" s="438" t="s">
        <v>266</v>
      </c>
      <c r="C43" s="584" t="s">
        <v>642</v>
      </c>
      <c r="D43" s="584" t="s">
        <v>678</v>
      </c>
      <c r="E43" s="438">
        <v>28.8</v>
      </c>
      <c r="F43" s="438">
        <v>159</v>
      </c>
      <c r="G43" s="439">
        <f>ROUNDUP( I43/H43/F43,0)</f>
        <v>1</v>
      </c>
      <c r="H43" s="440">
        <f>Zdroje!$D$4</f>
        <v>720</v>
      </c>
      <c r="I43" s="585">
        <v>23961.599999999999</v>
      </c>
      <c r="J43" s="441">
        <f t="shared" si="3"/>
        <v>20736</v>
      </c>
    </row>
    <row r="44" spans="1:10" ht="19.5" thickBot="1" x14ac:dyDescent="0.3">
      <c r="B44" s="438" t="s">
        <v>267</v>
      </c>
      <c r="C44" s="584" t="s">
        <v>659</v>
      </c>
      <c r="D44" s="584" t="s">
        <v>679</v>
      </c>
      <c r="E44" s="438">
        <v>300</v>
      </c>
      <c r="F44" s="438">
        <v>144</v>
      </c>
      <c r="G44" s="439">
        <f>ROUNDUP( I44/H44/F44,0)</f>
        <v>3</v>
      </c>
      <c r="H44" s="440">
        <f>Zdroje!$D$5</f>
        <v>672</v>
      </c>
      <c r="I44" s="585">
        <v>201600</v>
      </c>
      <c r="J44" s="441">
        <f t="shared" si="3"/>
        <v>201600</v>
      </c>
    </row>
    <row r="45" spans="1:10" ht="19.5" thickBot="1" x14ac:dyDescent="0.3">
      <c r="B45" s="438" t="s">
        <v>268</v>
      </c>
      <c r="C45" s="584" t="s">
        <v>661</v>
      </c>
      <c r="D45" s="584" t="s">
        <v>680</v>
      </c>
      <c r="E45" s="438">
        <v>58</v>
      </c>
      <c r="F45" s="438">
        <v>104</v>
      </c>
      <c r="G45" s="439">
        <f>ROUNDUP( I45/H45/F45,0)</f>
        <v>1</v>
      </c>
      <c r="H45" s="440">
        <f>Zdroje!$D$6</f>
        <v>576</v>
      </c>
      <c r="I45" s="585">
        <v>33408</v>
      </c>
      <c r="J45" s="441">
        <f t="shared" si="3"/>
        <v>33408</v>
      </c>
    </row>
    <row r="46" spans="1:10" ht="15.75" thickBot="1" x14ac:dyDescent="0.3">
      <c r="A46" s="681" t="s">
        <v>341</v>
      </c>
      <c r="B46" s="681"/>
      <c r="C46" s="681"/>
      <c r="D46" s="681"/>
      <c r="E46" s="681"/>
      <c r="F46" s="681"/>
      <c r="G46" s="681"/>
      <c r="H46" s="681"/>
      <c r="I46" s="681"/>
    </row>
    <row r="47" spans="1:10" ht="19.5" thickBot="1" x14ac:dyDescent="0.3">
      <c r="B47" s="438" t="s">
        <v>265</v>
      </c>
      <c r="C47" s="584" t="s">
        <v>672</v>
      </c>
      <c r="D47" s="584" t="s">
        <v>677</v>
      </c>
      <c r="E47" s="438">
        <v>51</v>
      </c>
      <c r="F47" s="438">
        <v>150.5</v>
      </c>
      <c r="G47" s="439">
        <f>ROUNDUP( I47/H47/F47,0)</f>
        <v>1</v>
      </c>
      <c r="H47" s="440">
        <f>Zdroje!$D$3</f>
        <v>864</v>
      </c>
      <c r="I47" s="585">
        <v>44064</v>
      </c>
      <c r="J47" s="441">
        <f t="shared" si="3"/>
        <v>44064</v>
      </c>
    </row>
    <row r="48" spans="1:10" ht="19.5" thickBot="1" x14ac:dyDescent="0.3">
      <c r="B48" s="438" t="s">
        <v>266</v>
      </c>
      <c r="C48" s="584" t="s">
        <v>642</v>
      </c>
      <c r="D48" s="584" t="s">
        <v>681</v>
      </c>
      <c r="E48" s="438">
        <v>38.4</v>
      </c>
      <c r="F48" s="438">
        <v>160</v>
      </c>
      <c r="G48" s="439">
        <f>ROUNDUP( I48/H48/F48,0)</f>
        <v>1</v>
      </c>
      <c r="H48" s="440">
        <f>Zdroje!$D$4</f>
        <v>720</v>
      </c>
      <c r="I48" s="585">
        <v>31948.799999999999</v>
      </c>
      <c r="J48" s="441">
        <f t="shared" si="3"/>
        <v>27648</v>
      </c>
    </row>
    <row r="49" spans="1:10" ht="19.5" thickBot="1" x14ac:dyDescent="0.3">
      <c r="B49" s="438" t="s">
        <v>267</v>
      </c>
      <c r="C49" s="584" t="s">
        <v>659</v>
      </c>
      <c r="D49" s="584" t="s">
        <v>679</v>
      </c>
      <c r="E49" s="438">
        <v>400</v>
      </c>
      <c r="F49" s="438">
        <v>144</v>
      </c>
      <c r="G49" s="439">
        <f>ROUNDUP( I49/H49/F49,0)</f>
        <v>3</v>
      </c>
      <c r="H49" s="440">
        <f>Zdroje!$D$5</f>
        <v>672</v>
      </c>
      <c r="I49" s="585">
        <v>268800</v>
      </c>
      <c r="J49" s="441"/>
    </row>
    <row r="50" spans="1:10" ht="19.5" thickBot="1" x14ac:dyDescent="0.3">
      <c r="B50" s="438" t="s">
        <v>268</v>
      </c>
      <c r="C50" s="584" t="s">
        <v>661</v>
      </c>
      <c r="D50" s="584" t="s">
        <v>682</v>
      </c>
      <c r="E50" s="438">
        <v>52</v>
      </c>
      <c r="F50" s="438">
        <v>101</v>
      </c>
      <c r="G50" s="439">
        <f>ROUNDUP( I50/H50/F50,0)</f>
        <v>1</v>
      </c>
      <c r="H50" s="440">
        <f>Zdroje!$D$6</f>
        <v>576</v>
      </c>
      <c r="I50" s="585">
        <v>29952</v>
      </c>
      <c r="J50" s="441">
        <f t="shared" si="3"/>
        <v>29952</v>
      </c>
    </row>
    <row r="51" spans="1:10" ht="15.75" thickBot="1" x14ac:dyDescent="0.3">
      <c r="A51" s="681" t="s">
        <v>342</v>
      </c>
      <c r="B51" s="681"/>
      <c r="C51" s="681"/>
      <c r="D51" s="681"/>
      <c r="E51" s="681"/>
      <c r="F51" s="681"/>
      <c r="G51" s="681"/>
      <c r="H51" s="681"/>
      <c r="I51" s="681"/>
    </row>
    <row r="52" spans="1:10" ht="19.5" thickBot="1" x14ac:dyDescent="0.3">
      <c r="B52" s="438" t="s">
        <v>265</v>
      </c>
      <c r="C52" s="584" t="s">
        <v>672</v>
      </c>
      <c r="D52" s="584" t="s">
        <v>683</v>
      </c>
      <c r="E52" s="438">
        <v>81.75</v>
      </c>
      <c r="F52" s="438">
        <v>152.5</v>
      </c>
      <c r="G52" s="439">
        <f>ROUNDUP( I52/H52/F52,0)</f>
        <v>1</v>
      </c>
      <c r="H52" s="440">
        <f>Zdroje!$D$3</f>
        <v>864</v>
      </c>
      <c r="I52" s="585">
        <v>70632</v>
      </c>
      <c r="J52" s="441">
        <f t="shared" si="3"/>
        <v>70632</v>
      </c>
    </row>
    <row r="53" spans="1:10" ht="19.5" thickBot="1" x14ac:dyDescent="0.3">
      <c r="B53" s="438" t="s">
        <v>266</v>
      </c>
      <c r="C53" s="584" t="s">
        <v>642</v>
      </c>
      <c r="D53" s="584" t="s">
        <v>681</v>
      </c>
      <c r="E53" s="438">
        <v>43.2</v>
      </c>
      <c r="F53" s="438">
        <v>160</v>
      </c>
      <c r="G53" s="439">
        <f>ROUNDUP( I53/H53/F53,0)</f>
        <v>1</v>
      </c>
      <c r="H53" s="440">
        <f>Zdroje!$D$4</f>
        <v>720</v>
      </c>
      <c r="I53" s="585">
        <v>35942.400000000001</v>
      </c>
      <c r="J53" s="441">
        <f t="shared" si="3"/>
        <v>31104.000000000004</v>
      </c>
    </row>
    <row r="54" spans="1:10" ht="19.5" thickBot="1" x14ac:dyDescent="0.3">
      <c r="B54" s="438" t="s">
        <v>267</v>
      </c>
      <c r="C54" s="584" t="s">
        <v>659</v>
      </c>
      <c r="D54" s="584" t="s">
        <v>684</v>
      </c>
      <c r="E54" s="438">
        <v>480</v>
      </c>
      <c r="F54" s="438">
        <v>149</v>
      </c>
      <c r="G54" s="439">
        <f>ROUNDUP( I54/H54/F54,0)</f>
        <v>4</v>
      </c>
      <c r="H54" s="440">
        <f>Zdroje!$D$5</f>
        <v>672</v>
      </c>
      <c r="I54" s="585">
        <v>322560</v>
      </c>
      <c r="J54" s="441">
        <f t="shared" si="3"/>
        <v>322560</v>
      </c>
    </row>
    <row r="55" spans="1:10" ht="19.5" thickBot="1" x14ac:dyDescent="0.3">
      <c r="B55" s="438" t="s">
        <v>268</v>
      </c>
      <c r="C55" s="584" t="s">
        <v>661</v>
      </c>
      <c r="D55" s="584" t="s">
        <v>685</v>
      </c>
      <c r="E55" s="438">
        <v>42</v>
      </c>
      <c r="F55" s="438">
        <v>96</v>
      </c>
      <c r="G55" s="439">
        <f>ROUNDUP( I55/H55/F55,0)</f>
        <v>1</v>
      </c>
      <c r="H55" s="440">
        <f>Zdroje!$D$6</f>
        <v>576</v>
      </c>
      <c r="I55" s="585">
        <v>24192</v>
      </c>
      <c r="J55" s="441">
        <f t="shared" si="3"/>
        <v>24192</v>
      </c>
    </row>
    <row r="56" spans="1:10" ht="15.75" thickBot="1" x14ac:dyDescent="0.3">
      <c r="A56" s="681" t="s">
        <v>343</v>
      </c>
      <c r="B56" s="681"/>
      <c r="C56" s="681"/>
      <c r="D56" s="681"/>
      <c r="E56" s="681"/>
      <c r="F56" s="681"/>
      <c r="G56" s="681"/>
      <c r="H56" s="681"/>
      <c r="I56" s="681"/>
    </row>
    <row r="57" spans="1:10" ht="19.5" thickBot="1" x14ac:dyDescent="0.3">
      <c r="B57" s="438" t="s">
        <v>265</v>
      </c>
      <c r="C57" s="584" t="s">
        <v>672</v>
      </c>
      <c r="D57" s="584" t="s">
        <v>677</v>
      </c>
      <c r="E57" s="438">
        <v>72.25</v>
      </c>
      <c r="F57" s="438">
        <v>150.5</v>
      </c>
      <c r="G57" s="439">
        <f>ROUNDUP( I57/H57/F57,0)</f>
        <v>1</v>
      </c>
      <c r="H57" s="440">
        <f>Zdroje!$D$3</f>
        <v>864</v>
      </c>
      <c r="I57" s="585">
        <v>62424</v>
      </c>
      <c r="J57" s="441">
        <f t="shared" si="3"/>
        <v>62424</v>
      </c>
    </row>
    <row r="58" spans="1:10" ht="19.5" thickBot="1" x14ac:dyDescent="0.3">
      <c r="B58" s="438" t="s">
        <v>266</v>
      </c>
      <c r="C58" s="584" t="s">
        <v>642</v>
      </c>
      <c r="D58" s="584" t="s">
        <v>686</v>
      </c>
      <c r="E58" s="438">
        <v>72</v>
      </c>
      <c r="F58" s="438">
        <v>162</v>
      </c>
      <c r="G58" s="439">
        <f>ROUNDUP( I58/H58/F58,0)</f>
        <v>1</v>
      </c>
      <c r="H58" s="440">
        <f>Zdroje!$D$4</f>
        <v>720</v>
      </c>
      <c r="I58" s="585">
        <v>59904</v>
      </c>
      <c r="J58" s="441">
        <f t="shared" si="3"/>
        <v>51840</v>
      </c>
    </row>
    <row r="59" spans="1:10" ht="19.5" thickBot="1" x14ac:dyDescent="0.3">
      <c r="B59" s="438" t="s">
        <v>267</v>
      </c>
      <c r="C59" s="584" t="s">
        <v>659</v>
      </c>
      <c r="D59" s="584" t="s">
        <v>663</v>
      </c>
      <c r="E59" s="438">
        <v>420</v>
      </c>
      <c r="F59" s="438">
        <v>154</v>
      </c>
      <c r="G59" s="439">
        <f>ROUNDUP( I59/H59/F59,0)</f>
        <v>3</v>
      </c>
      <c r="H59" s="440">
        <f>Zdroje!$D$5</f>
        <v>672</v>
      </c>
      <c r="I59" s="585">
        <v>282240</v>
      </c>
      <c r="J59" s="441">
        <f t="shared" si="3"/>
        <v>282240</v>
      </c>
    </row>
    <row r="60" spans="1:10" ht="19.5" thickBot="1" x14ac:dyDescent="0.3">
      <c r="B60" s="438" t="s">
        <v>268</v>
      </c>
      <c r="C60" s="584" t="s">
        <v>661</v>
      </c>
      <c r="D60" s="584" t="s">
        <v>682</v>
      </c>
      <c r="E60" s="438">
        <v>52</v>
      </c>
      <c r="F60" s="438">
        <v>101</v>
      </c>
      <c r="G60" s="439">
        <f>ROUNDUP( I60/H60/F60,0)</f>
        <v>1</v>
      </c>
      <c r="H60" s="440">
        <f>Zdroje!$D$6</f>
        <v>576</v>
      </c>
      <c r="I60" s="585">
        <v>29952</v>
      </c>
      <c r="J60" s="441">
        <f t="shared" si="3"/>
        <v>29952</v>
      </c>
    </row>
    <row r="61" spans="1:10" ht="19.5" thickBot="1" x14ac:dyDescent="0.3">
      <c r="B61" s="438" t="s">
        <v>269</v>
      </c>
      <c r="C61" s="584" t="s">
        <v>658</v>
      </c>
      <c r="D61" s="584" t="s">
        <v>665</v>
      </c>
      <c r="E61" s="438">
        <v>20</v>
      </c>
      <c r="F61" s="438">
        <v>10</v>
      </c>
      <c r="G61" s="439">
        <f>ROUNDUP( I61/H61/F61,0)</f>
        <v>2</v>
      </c>
      <c r="H61" s="440">
        <f>Zdroje!$D$7</f>
        <v>624</v>
      </c>
      <c r="I61" s="585">
        <v>12480</v>
      </c>
      <c r="J61" s="441">
        <f t="shared" ref="J61" si="4">E61*H61</f>
        <v>12480</v>
      </c>
    </row>
    <row r="62" spans="1:10" ht="15.75" thickBot="1" x14ac:dyDescent="0.3">
      <c r="A62" s="681" t="s">
        <v>344</v>
      </c>
      <c r="B62" s="681"/>
      <c r="C62" s="681"/>
      <c r="D62" s="681"/>
      <c r="E62" s="681"/>
      <c r="F62" s="681"/>
      <c r="G62" s="681"/>
      <c r="H62" s="681"/>
      <c r="I62" s="681"/>
    </row>
    <row r="63" spans="1:10" ht="19.5" thickBot="1" x14ac:dyDescent="0.3">
      <c r="B63" s="438" t="s">
        <v>265</v>
      </c>
      <c r="C63" s="584" t="s">
        <v>692</v>
      </c>
      <c r="D63" s="584" t="s">
        <v>693</v>
      </c>
      <c r="E63" s="438">
        <v>59.5</v>
      </c>
      <c r="F63" s="438">
        <v>145.5</v>
      </c>
      <c r="G63" s="439">
        <f>ROUNDUP( I63/H63/F63,0)</f>
        <v>1</v>
      </c>
      <c r="H63" s="440">
        <f>Zdroje!$D$3</f>
        <v>864</v>
      </c>
      <c r="I63" s="585">
        <v>51408</v>
      </c>
      <c r="J63" s="441">
        <f t="shared" ref="J63:J66" si="5">E63*H63</f>
        <v>51408</v>
      </c>
    </row>
    <row r="64" spans="1:10" ht="19.5" thickBot="1" x14ac:dyDescent="0.3">
      <c r="B64" s="438" t="s">
        <v>266</v>
      </c>
      <c r="C64" s="584" t="s">
        <v>694</v>
      </c>
      <c r="D64" s="584" t="s">
        <v>686</v>
      </c>
      <c r="E64" s="438">
        <v>67.2</v>
      </c>
      <c r="F64" s="438">
        <v>155</v>
      </c>
      <c r="G64" s="439">
        <f>ROUNDUP( I64/H64/F64,0)</f>
        <v>1</v>
      </c>
      <c r="H64" s="440">
        <f>Zdroje!$D$4</f>
        <v>720</v>
      </c>
      <c r="I64" s="585">
        <v>55910.400000000001</v>
      </c>
      <c r="J64" s="441">
        <f t="shared" si="5"/>
        <v>48384</v>
      </c>
    </row>
    <row r="65" spans="1:10" ht="19.5" thickBot="1" x14ac:dyDescent="0.3">
      <c r="B65" s="438" t="s">
        <v>267</v>
      </c>
      <c r="C65" s="584" t="s">
        <v>659</v>
      </c>
      <c r="D65" s="584" t="s">
        <v>695</v>
      </c>
      <c r="E65" s="438">
        <v>264</v>
      </c>
      <c r="F65" s="438">
        <v>152</v>
      </c>
      <c r="G65" s="439">
        <f>ROUNDUP( I65/H65/F65,0)</f>
        <v>2</v>
      </c>
      <c r="H65" s="440">
        <f>Zdroje!$D$5</f>
        <v>672</v>
      </c>
      <c r="I65" s="585">
        <v>177408</v>
      </c>
      <c r="J65" s="441">
        <f t="shared" si="5"/>
        <v>177408</v>
      </c>
    </row>
    <row r="66" spans="1:10" ht="19.5" thickBot="1" x14ac:dyDescent="0.3">
      <c r="B66" s="438" t="s">
        <v>268</v>
      </c>
      <c r="C66" s="584" t="s">
        <v>661</v>
      </c>
      <c r="D66" s="584" t="s">
        <v>685</v>
      </c>
      <c r="E66" s="438">
        <v>32</v>
      </c>
      <c r="F66" s="438">
        <v>96</v>
      </c>
      <c r="G66" s="439">
        <f>ROUNDUP( I66/H66/F66,0)</f>
        <v>1</v>
      </c>
      <c r="H66" s="440">
        <f>Zdroje!$D$6</f>
        <v>576</v>
      </c>
      <c r="I66" s="585">
        <v>18432</v>
      </c>
      <c r="J66" s="441">
        <f t="shared" si="5"/>
        <v>18432</v>
      </c>
    </row>
    <row r="67" spans="1:10" ht="15.75" thickBot="1" x14ac:dyDescent="0.3">
      <c r="A67" s="681" t="s">
        <v>345</v>
      </c>
      <c r="B67" s="681"/>
      <c r="C67" s="681"/>
      <c r="D67" s="681"/>
      <c r="E67" s="681"/>
      <c r="F67" s="681"/>
      <c r="G67" s="681"/>
      <c r="H67" s="681"/>
      <c r="I67" s="681"/>
    </row>
    <row r="68" spans="1:10" ht="19.5" thickBot="1" x14ac:dyDescent="0.3">
      <c r="B68" s="438" t="s">
        <v>265</v>
      </c>
      <c r="C68" s="584"/>
      <c r="D68" s="584"/>
      <c r="E68" s="438"/>
      <c r="F68" s="438"/>
      <c r="G68" s="439"/>
      <c r="H68" s="440">
        <f>Zdroje!$D$3</f>
        <v>864</v>
      </c>
      <c r="I68" s="585">
        <v>0</v>
      </c>
      <c r="J68" s="441">
        <f t="shared" ref="J68:J71" si="6">E68*H68</f>
        <v>0</v>
      </c>
    </row>
    <row r="69" spans="1:10" ht="19.5" thickBot="1" x14ac:dyDescent="0.3">
      <c r="B69" s="438" t="s">
        <v>266</v>
      </c>
      <c r="C69" s="584"/>
      <c r="D69" s="584"/>
      <c r="E69" s="438"/>
      <c r="F69" s="438"/>
      <c r="G69" s="439"/>
      <c r="H69" s="440">
        <f>Zdroje!$D$4</f>
        <v>720</v>
      </c>
      <c r="I69" s="585">
        <v>0</v>
      </c>
      <c r="J69" s="441">
        <f t="shared" si="6"/>
        <v>0</v>
      </c>
    </row>
    <row r="70" spans="1:10" ht="19.5" thickBot="1" x14ac:dyDescent="0.3">
      <c r="B70" s="438" t="s">
        <v>267</v>
      </c>
      <c r="C70" s="584"/>
      <c r="D70" s="584"/>
      <c r="E70" s="438"/>
      <c r="F70" s="438"/>
      <c r="G70" s="439"/>
      <c r="H70" s="440">
        <f>Zdroje!$D$5</f>
        <v>672</v>
      </c>
      <c r="I70" s="585">
        <v>0</v>
      </c>
      <c r="J70" s="441">
        <f t="shared" si="6"/>
        <v>0</v>
      </c>
    </row>
    <row r="71" spans="1:10" ht="19.5" thickBot="1" x14ac:dyDescent="0.3">
      <c r="B71" s="438" t="s">
        <v>268</v>
      </c>
      <c r="C71" s="584"/>
      <c r="D71" s="584"/>
      <c r="E71" s="438"/>
      <c r="F71" s="438"/>
      <c r="G71" s="439"/>
      <c r="H71" s="440">
        <f>Zdroje!$D$6</f>
        <v>576</v>
      </c>
      <c r="I71" s="585">
        <v>0</v>
      </c>
      <c r="J71" s="441">
        <f t="shared" si="6"/>
        <v>0</v>
      </c>
    </row>
    <row r="72" spans="1:10" ht="15.75" thickBot="1" x14ac:dyDescent="0.3">
      <c r="A72" s="681" t="s">
        <v>346</v>
      </c>
      <c r="B72" s="681"/>
      <c r="C72" s="681"/>
      <c r="D72" s="681"/>
      <c r="E72" s="681"/>
      <c r="F72" s="681"/>
      <c r="G72" s="681"/>
      <c r="H72" s="681"/>
      <c r="I72" s="681"/>
    </row>
    <row r="73" spans="1:10" ht="19.5" thickBot="1" x14ac:dyDescent="0.3">
      <c r="B73" s="438" t="s">
        <v>265</v>
      </c>
      <c r="C73" s="584"/>
      <c r="D73" s="584"/>
      <c r="E73" s="438"/>
      <c r="F73" s="438"/>
      <c r="G73" s="439"/>
      <c r="H73" s="440">
        <f>Zdroje!$D$3</f>
        <v>864</v>
      </c>
      <c r="I73" s="585">
        <v>0</v>
      </c>
      <c r="J73" s="441">
        <f t="shared" ref="J73:J76" si="7">E73*H73</f>
        <v>0</v>
      </c>
    </row>
    <row r="74" spans="1:10" ht="19.5" thickBot="1" x14ac:dyDescent="0.3">
      <c r="B74" s="438" t="s">
        <v>266</v>
      </c>
      <c r="C74" s="584"/>
      <c r="D74" s="584"/>
      <c r="E74" s="438"/>
      <c r="F74" s="438"/>
      <c r="G74" s="439"/>
      <c r="H74" s="440">
        <f>Zdroje!$D$4</f>
        <v>720</v>
      </c>
      <c r="I74" s="585">
        <v>0</v>
      </c>
      <c r="J74" s="441">
        <f t="shared" si="7"/>
        <v>0</v>
      </c>
    </row>
    <row r="75" spans="1:10" ht="19.5" thickBot="1" x14ac:dyDescent="0.3">
      <c r="B75" s="438" t="s">
        <v>267</v>
      </c>
      <c r="C75" s="584"/>
      <c r="D75" s="584"/>
      <c r="E75" s="438"/>
      <c r="F75" s="438"/>
      <c r="G75" s="439"/>
      <c r="H75" s="440">
        <f>Zdroje!$D$5</f>
        <v>672</v>
      </c>
      <c r="I75" s="585">
        <v>0</v>
      </c>
      <c r="J75" s="441">
        <f t="shared" si="7"/>
        <v>0</v>
      </c>
    </row>
    <row r="76" spans="1:10" ht="19.5" thickBot="1" x14ac:dyDescent="0.3">
      <c r="B76" s="438" t="s">
        <v>268</v>
      </c>
      <c r="C76" s="584"/>
      <c r="D76" s="584"/>
      <c r="E76" s="438"/>
      <c r="F76" s="438"/>
      <c r="G76" s="439"/>
      <c r="H76" s="440">
        <f>Zdroje!$D$6</f>
        <v>576</v>
      </c>
      <c r="I76" s="585">
        <v>0</v>
      </c>
      <c r="J76" s="441">
        <f t="shared" si="7"/>
        <v>0</v>
      </c>
    </row>
    <row r="77" spans="1:10" ht="15.75" thickBot="1" x14ac:dyDescent="0.3">
      <c r="A77" s="681" t="s">
        <v>347</v>
      </c>
      <c r="B77" s="681"/>
      <c r="C77" s="681"/>
      <c r="D77" s="681"/>
      <c r="E77" s="681"/>
      <c r="F77" s="681"/>
      <c r="G77" s="681"/>
      <c r="H77" s="681"/>
      <c r="I77" s="681"/>
    </row>
    <row r="78" spans="1:10" ht="19.5" thickBot="1" x14ac:dyDescent="0.3">
      <c r="B78" s="438" t="s">
        <v>265</v>
      </c>
      <c r="C78" s="584"/>
      <c r="D78" s="584"/>
      <c r="E78" s="438"/>
      <c r="F78" s="438"/>
      <c r="G78" s="439"/>
      <c r="H78" s="440">
        <f>Zdroje!$D$3</f>
        <v>864</v>
      </c>
      <c r="I78" s="585">
        <v>0</v>
      </c>
      <c r="J78" s="441">
        <f t="shared" ref="J78:J81" si="8">E78*H78</f>
        <v>0</v>
      </c>
    </row>
    <row r="79" spans="1:10" ht="19.5" thickBot="1" x14ac:dyDescent="0.3">
      <c r="B79" s="438" t="s">
        <v>266</v>
      </c>
      <c r="C79" s="584"/>
      <c r="D79" s="584"/>
      <c r="E79" s="438"/>
      <c r="F79" s="438"/>
      <c r="G79" s="439"/>
      <c r="H79" s="440">
        <f>Zdroje!$D$4</f>
        <v>720</v>
      </c>
      <c r="I79" s="585">
        <v>0</v>
      </c>
      <c r="J79" s="441">
        <f t="shared" si="8"/>
        <v>0</v>
      </c>
    </row>
    <row r="80" spans="1:10" ht="19.5" thickBot="1" x14ac:dyDescent="0.3">
      <c r="B80" s="438" t="s">
        <v>267</v>
      </c>
      <c r="C80" s="584"/>
      <c r="D80" s="584"/>
      <c r="E80" s="438"/>
      <c r="F80" s="438"/>
      <c r="G80" s="439"/>
      <c r="H80" s="440">
        <f>Zdroje!$D$5</f>
        <v>672</v>
      </c>
      <c r="I80" s="585">
        <v>0</v>
      </c>
      <c r="J80" s="441">
        <f t="shared" si="8"/>
        <v>0</v>
      </c>
    </row>
    <row r="81" spans="1:10" ht="19.5" thickBot="1" x14ac:dyDescent="0.3">
      <c r="B81" s="438" t="s">
        <v>268</v>
      </c>
      <c r="C81" s="584"/>
      <c r="D81" s="584"/>
      <c r="E81" s="438"/>
      <c r="F81" s="438"/>
      <c r="G81" s="439"/>
      <c r="H81" s="440">
        <f>Zdroje!$D$6</f>
        <v>576</v>
      </c>
      <c r="I81" s="585">
        <v>0</v>
      </c>
      <c r="J81" s="441">
        <f t="shared" si="8"/>
        <v>0</v>
      </c>
    </row>
    <row r="82" spans="1:10" ht="15.75" thickBot="1" x14ac:dyDescent="0.3">
      <c r="A82" s="681" t="s">
        <v>348</v>
      </c>
      <c r="B82" s="681"/>
      <c r="C82" s="681"/>
      <c r="D82" s="681"/>
      <c r="E82" s="681"/>
      <c r="F82" s="681"/>
      <c r="G82" s="681"/>
      <c r="H82" s="681"/>
      <c r="I82" s="681"/>
    </row>
    <row r="83" spans="1:10" ht="19.5" thickBot="1" x14ac:dyDescent="0.3">
      <c r="B83" s="438" t="s">
        <v>265</v>
      </c>
      <c r="C83" s="584"/>
      <c r="D83" s="584"/>
      <c r="E83" s="438"/>
      <c r="F83" s="438"/>
      <c r="G83" s="439"/>
      <c r="H83" s="440">
        <f>Zdroje!$D$3</f>
        <v>864</v>
      </c>
      <c r="I83" s="585">
        <v>0</v>
      </c>
      <c r="J83" s="441">
        <f t="shared" ref="J83:J86" si="9">E83*H83</f>
        <v>0</v>
      </c>
    </row>
    <row r="84" spans="1:10" ht="19.5" thickBot="1" x14ac:dyDescent="0.3">
      <c r="B84" s="438" t="s">
        <v>266</v>
      </c>
      <c r="C84" s="584"/>
      <c r="D84" s="584"/>
      <c r="E84" s="438"/>
      <c r="F84" s="438"/>
      <c r="G84" s="439"/>
      <c r="H84" s="440">
        <f>Zdroje!$D$4</f>
        <v>720</v>
      </c>
      <c r="I84" s="585">
        <v>0</v>
      </c>
      <c r="J84" s="441">
        <f t="shared" si="9"/>
        <v>0</v>
      </c>
    </row>
    <row r="85" spans="1:10" ht="19.5" thickBot="1" x14ac:dyDescent="0.3">
      <c r="B85" s="438" t="s">
        <v>267</v>
      </c>
      <c r="C85" s="584"/>
      <c r="D85" s="584"/>
      <c r="E85" s="438"/>
      <c r="F85" s="438"/>
      <c r="G85" s="439"/>
      <c r="H85" s="440">
        <f>Zdroje!$D$5</f>
        <v>672</v>
      </c>
      <c r="I85" s="585">
        <v>0</v>
      </c>
      <c r="J85" s="441">
        <f t="shared" si="9"/>
        <v>0</v>
      </c>
    </row>
    <row r="86" spans="1:10" ht="19.5" thickBot="1" x14ac:dyDescent="0.3">
      <c r="B86" s="438" t="s">
        <v>268</v>
      </c>
      <c r="C86" s="584"/>
      <c r="D86" s="584"/>
      <c r="E86" s="438"/>
      <c r="F86" s="438"/>
      <c r="G86" s="439"/>
      <c r="H86" s="440">
        <f>Zdroje!$D$6</f>
        <v>576</v>
      </c>
      <c r="I86" s="585">
        <v>0</v>
      </c>
      <c r="J86" s="441">
        <f t="shared" si="9"/>
        <v>0</v>
      </c>
    </row>
    <row r="87" spans="1:10" ht="15.75" thickBot="1" x14ac:dyDescent="0.3">
      <c r="A87" s="681" t="s">
        <v>349</v>
      </c>
      <c r="B87" s="681"/>
      <c r="C87" s="681"/>
      <c r="D87" s="681"/>
      <c r="E87" s="681"/>
      <c r="F87" s="681"/>
      <c r="G87" s="681"/>
      <c r="H87" s="681"/>
      <c r="I87" s="681"/>
    </row>
    <row r="88" spans="1:10" ht="19.5" thickBot="1" x14ac:dyDescent="0.3">
      <c r="B88" s="438" t="s">
        <v>265</v>
      </c>
      <c r="C88" s="584" t="s">
        <v>701</v>
      </c>
      <c r="D88" s="584" t="s">
        <v>702</v>
      </c>
      <c r="E88" s="438">
        <v>21</v>
      </c>
      <c r="F88" s="438">
        <v>10</v>
      </c>
      <c r="G88" s="439">
        <f>ROUNDUP( I88/H88/F88,0)</f>
        <v>3</v>
      </c>
      <c r="H88" s="440">
        <f>Zdroje!$D$3</f>
        <v>864</v>
      </c>
      <c r="I88" s="585">
        <v>18144</v>
      </c>
      <c r="J88" s="441">
        <f t="shared" ref="J88:J91" si="10">E88*H88</f>
        <v>18144</v>
      </c>
    </row>
    <row r="89" spans="1:10" ht="19.5" thickBot="1" x14ac:dyDescent="0.3">
      <c r="B89" s="438" t="s">
        <v>266</v>
      </c>
      <c r="C89" s="584" t="s">
        <v>656</v>
      </c>
      <c r="D89" s="584" t="s">
        <v>703</v>
      </c>
      <c r="E89" s="438">
        <v>84</v>
      </c>
      <c r="F89" s="438">
        <v>21</v>
      </c>
      <c r="G89" s="439">
        <f>ROUNDUP( I89/H89/F89,0)</f>
        <v>4</v>
      </c>
      <c r="H89" s="440">
        <f>Zdroje!$D$4</f>
        <v>720</v>
      </c>
      <c r="I89" s="585">
        <v>56448</v>
      </c>
      <c r="J89" s="441">
        <f t="shared" si="10"/>
        <v>60480</v>
      </c>
    </row>
    <row r="90" spans="1:10" ht="19.5" thickBot="1" x14ac:dyDescent="0.3">
      <c r="B90" s="438" t="s">
        <v>267</v>
      </c>
      <c r="C90" s="584" t="s">
        <v>702</v>
      </c>
      <c r="D90" s="584" t="s">
        <v>656</v>
      </c>
      <c r="E90" s="438">
        <v>56</v>
      </c>
      <c r="F90" s="438">
        <v>20</v>
      </c>
      <c r="G90" s="439">
        <f>ROUNDUP( I90/H90/F90,0)</f>
        <v>3</v>
      </c>
      <c r="H90" s="440">
        <f>Zdroje!$D$5</f>
        <v>672</v>
      </c>
      <c r="I90" s="585">
        <v>40320</v>
      </c>
      <c r="J90" s="441">
        <f t="shared" si="10"/>
        <v>37632</v>
      </c>
    </row>
    <row r="91" spans="1:10" ht="19.5" thickBot="1" x14ac:dyDescent="0.3">
      <c r="B91" s="438" t="s">
        <v>268</v>
      </c>
      <c r="C91" s="584" t="s">
        <v>660</v>
      </c>
      <c r="D91" s="584" t="s">
        <v>664</v>
      </c>
      <c r="E91" s="438">
        <v>28</v>
      </c>
      <c r="F91" s="438">
        <v>14</v>
      </c>
      <c r="G91" s="439">
        <f>ROUNDUP( I91/H91/F91,0)</f>
        <v>2</v>
      </c>
      <c r="H91" s="440">
        <f>Zdroje!$D$6</f>
        <v>576</v>
      </c>
      <c r="I91" s="585">
        <v>16128</v>
      </c>
      <c r="J91" s="441">
        <f t="shared" si="10"/>
        <v>16128</v>
      </c>
    </row>
    <row r="92" spans="1:10" ht="15.75" thickBot="1" x14ac:dyDescent="0.3">
      <c r="A92" s="681" t="s">
        <v>350</v>
      </c>
      <c r="B92" s="681"/>
      <c r="C92" s="681"/>
      <c r="D92" s="681"/>
      <c r="E92" s="681"/>
      <c r="F92" s="681"/>
      <c r="G92" s="681"/>
      <c r="H92" s="681"/>
      <c r="I92" s="681"/>
    </row>
    <row r="93" spans="1:10" ht="19.5" thickBot="1" x14ac:dyDescent="0.3">
      <c r="B93" s="438" t="s">
        <v>265</v>
      </c>
      <c r="C93" s="584"/>
      <c r="D93" s="584"/>
      <c r="E93" s="438"/>
      <c r="F93" s="438"/>
      <c r="G93" s="439"/>
      <c r="H93" s="440">
        <f>Zdroje!$D$3</f>
        <v>864</v>
      </c>
      <c r="I93" s="585">
        <v>0</v>
      </c>
      <c r="J93" s="441">
        <f t="shared" ref="J93:J96" si="11">E93*H93</f>
        <v>0</v>
      </c>
    </row>
    <row r="94" spans="1:10" ht="19.5" thickBot="1" x14ac:dyDescent="0.3">
      <c r="B94" s="438" t="s">
        <v>266</v>
      </c>
      <c r="C94" s="584"/>
      <c r="D94" s="584"/>
      <c r="E94" s="438"/>
      <c r="F94" s="438"/>
      <c r="G94" s="439"/>
      <c r="H94" s="440">
        <f>Zdroje!$D$4</f>
        <v>720</v>
      </c>
      <c r="I94" s="585">
        <v>0</v>
      </c>
      <c r="J94" s="441">
        <f t="shared" si="11"/>
        <v>0</v>
      </c>
    </row>
    <row r="95" spans="1:10" ht="19.5" thickBot="1" x14ac:dyDescent="0.3">
      <c r="B95" s="438" t="s">
        <v>267</v>
      </c>
      <c r="C95" s="584"/>
      <c r="D95" s="584"/>
      <c r="E95" s="438"/>
      <c r="F95" s="438"/>
      <c r="G95" s="439"/>
      <c r="H95" s="440">
        <f>Zdroje!$D$5</f>
        <v>672</v>
      </c>
      <c r="I95" s="585">
        <v>0</v>
      </c>
      <c r="J95" s="441">
        <f t="shared" si="11"/>
        <v>0</v>
      </c>
    </row>
    <row r="96" spans="1:10" ht="19.5" thickBot="1" x14ac:dyDescent="0.3">
      <c r="B96" s="438" t="s">
        <v>268</v>
      </c>
      <c r="C96" s="584"/>
      <c r="D96" s="584"/>
      <c r="E96" s="438"/>
      <c r="F96" s="438"/>
      <c r="G96" s="439"/>
      <c r="H96" s="440">
        <f>Zdroje!$D$6</f>
        <v>576</v>
      </c>
      <c r="I96" s="585">
        <v>0</v>
      </c>
      <c r="J96" s="441">
        <f t="shared" si="11"/>
        <v>0</v>
      </c>
    </row>
    <row r="97" spans="1:10" ht="15.75" thickBot="1" x14ac:dyDescent="0.3">
      <c r="A97" s="681" t="s">
        <v>351</v>
      </c>
      <c r="B97" s="681"/>
      <c r="C97" s="681"/>
      <c r="D97" s="681"/>
      <c r="E97" s="681"/>
      <c r="F97" s="681"/>
      <c r="G97" s="681"/>
      <c r="H97" s="681"/>
      <c r="I97" s="681"/>
    </row>
    <row r="98" spans="1:10" ht="19.5" thickBot="1" x14ac:dyDescent="0.3">
      <c r="B98" s="438" t="s">
        <v>265</v>
      </c>
      <c r="C98" s="584"/>
      <c r="D98" s="584"/>
      <c r="E98" s="438"/>
      <c r="F98" s="438"/>
      <c r="G98" s="439"/>
      <c r="H98" s="440">
        <f>Zdroje!$D$3</f>
        <v>864</v>
      </c>
      <c r="I98" s="585">
        <v>0</v>
      </c>
      <c r="J98" s="441">
        <f t="shared" ref="J98:J101" si="12">E98*H98</f>
        <v>0</v>
      </c>
    </row>
    <row r="99" spans="1:10" ht="19.5" thickBot="1" x14ac:dyDescent="0.3">
      <c r="B99" s="438" t="s">
        <v>266</v>
      </c>
      <c r="C99" s="584"/>
      <c r="D99" s="584"/>
      <c r="E99" s="438"/>
      <c r="F99" s="438"/>
      <c r="G99" s="439"/>
      <c r="H99" s="440">
        <f>Zdroje!$D$4</f>
        <v>720</v>
      </c>
      <c r="I99" s="585">
        <v>0</v>
      </c>
      <c r="J99" s="441">
        <f t="shared" si="12"/>
        <v>0</v>
      </c>
    </row>
    <row r="100" spans="1:10" ht="19.5" thickBot="1" x14ac:dyDescent="0.3">
      <c r="B100" s="438" t="s">
        <v>267</v>
      </c>
      <c r="C100" s="584"/>
      <c r="D100" s="584"/>
      <c r="E100" s="438"/>
      <c r="F100" s="438"/>
      <c r="G100" s="439"/>
      <c r="H100" s="440">
        <f>Zdroje!$D$5</f>
        <v>672</v>
      </c>
      <c r="I100" s="585">
        <v>0</v>
      </c>
      <c r="J100" s="441">
        <f t="shared" si="12"/>
        <v>0</v>
      </c>
    </row>
    <row r="101" spans="1:10" ht="19.5" thickBot="1" x14ac:dyDescent="0.3">
      <c r="B101" s="438" t="s">
        <v>268</v>
      </c>
      <c r="C101" s="584"/>
      <c r="D101" s="584"/>
      <c r="E101" s="438"/>
      <c r="F101" s="438"/>
      <c r="G101" s="439"/>
      <c r="H101" s="440">
        <f>Zdroje!$D$6</f>
        <v>576</v>
      </c>
      <c r="I101" s="585">
        <v>0</v>
      </c>
      <c r="J101" s="441">
        <f t="shared" si="12"/>
        <v>0</v>
      </c>
    </row>
    <row r="102" spans="1:10" ht="15.75" thickBot="1" x14ac:dyDescent="0.3">
      <c r="A102" s="681" t="s">
        <v>352</v>
      </c>
      <c r="B102" s="681"/>
      <c r="C102" s="681"/>
      <c r="D102" s="681"/>
      <c r="E102" s="681"/>
      <c r="F102" s="681"/>
      <c r="G102" s="681"/>
      <c r="H102" s="681"/>
      <c r="I102" s="681"/>
    </row>
    <row r="103" spans="1:10" ht="19.5" thickBot="1" x14ac:dyDescent="0.3">
      <c r="B103" s="438" t="s">
        <v>265</v>
      </c>
      <c r="C103" s="584" t="s">
        <v>701</v>
      </c>
      <c r="D103" s="584" t="s">
        <v>675</v>
      </c>
      <c r="E103" s="438">
        <v>2</v>
      </c>
      <c r="F103" s="438">
        <v>2</v>
      </c>
      <c r="G103" s="439">
        <f>ROUNDUP( I103/H103/F103,0)</f>
        <v>1</v>
      </c>
      <c r="H103" s="440">
        <f>Zdroje!$D$3</f>
        <v>864</v>
      </c>
      <c r="I103" s="585">
        <v>1728</v>
      </c>
      <c r="J103" s="441">
        <f t="shared" ref="J103:J106" si="13">E103*H103</f>
        <v>1728</v>
      </c>
    </row>
    <row r="104" spans="1:10" ht="19.5" thickBot="1" x14ac:dyDescent="0.3">
      <c r="B104" s="438" t="s">
        <v>266</v>
      </c>
      <c r="C104" s="584" t="s">
        <v>656</v>
      </c>
      <c r="D104" s="584" t="s">
        <v>676</v>
      </c>
      <c r="E104" s="438">
        <v>30</v>
      </c>
      <c r="F104" s="438">
        <v>10</v>
      </c>
      <c r="G104" s="439">
        <f>ROUNDUP( I104/H104/F104,0)</f>
        <v>3</v>
      </c>
      <c r="H104" s="440">
        <f>Zdroje!$D$4</f>
        <v>720</v>
      </c>
      <c r="I104" s="585">
        <v>20160</v>
      </c>
      <c r="J104" s="441">
        <f t="shared" si="13"/>
        <v>21600</v>
      </c>
    </row>
    <row r="105" spans="1:10" ht="19.5" thickBot="1" x14ac:dyDescent="0.3">
      <c r="B105" s="438" t="s">
        <v>267</v>
      </c>
      <c r="C105" s="584" t="s">
        <v>702</v>
      </c>
      <c r="D105" s="584" t="s">
        <v>654</v>
      </c>
      <c r="E105" s="438">
        <v>15</v>
      </c>
      <c r="F105" s="438">
        <v>5</v>
      </c>
      <c r="G105" s="439">
        <f>ROUNDUP( I105/H105/F105,0)</f>
        <v>4</v>
      </c>
      <c r="H105" s="440">
        <f>Zdroje!$D$5</f>
        <v>672</v>
      </c>
      <c r="I105" s="585">
        <v>10800</v>
      </c>
      <c r="J105" s="441">
        <f t="shared" si="13"/>
        <v>10080</v>
      </c>
    </row>
    <row r="106" spans="1:10" ht="19.5" thickBot="1" x14ac:dyDescent="0.3">
      <c r="B106" s="438" t="s">
        <v>268</v>
      </c>
      <c r="C106" s="584" t="s">
        <v>660</v>
      </c>
      <c r="D106" s="584" t="s">
        <v>662</v>
      </c>
      <c r="E106" s="438">
        <v>5</v>
      </c>
      <c r="F106" s="438">
        <v>5</v>
      </c>
      <c r="G106" s="439">
        <f>ROUNDUP( I106/H106/F106,0)</f>
        <v>1</v>
      </c>
      <c r="H106" s="440">
        <f>Zdroje!$D$6</f>
        <v>576</v>
      </c>
      <c r="I106" s="585">
        <v>2880</v>
      </c>
      <c r="J106" s="441">
        <f t="shared" si="13"/>
        <v>2880</v>
      </c>
    </row>
    <row r="107" spans="1:10" ht="15.75" thickBot="1" x14ac:dyDescent="0.3">
      <c r="A107" s="681" t="s">
        <v>353</v>
      </c>
      <c r="B107" s="681"/>
      <c r="C107" s="681"/>
      <c r="D107" s="681"/>
      <c r="E107" s="681"/>
      <c r="F107" s="681"/>
      <c r="G107" s="681"/>
      <c r="H107" s="681"/>
      <c r="I107" s="681"/>
    </row>
    <row r="108" spans="1:10" ht="19.5" thickBot="1" x14ac:dyDescent="0.3">
      <c r="B108" s="438" t="s">
        <v>265</v>
      </c>
      <c r="C108" s="584" t="s">
        <v>672</v>
      </c>
      <c r="D108" s="584" t="s">
        <v>677</v>
      </c>
      <c r="E108" s="438">
        <v>87.5</v>
      </c>
      <c r="F108" s="438">
        <v>150.5</v>
      </c>
      <c r="G108" s="439">
        <f>ROUNDUP( I108/H108/F108,0)</f>
        <v>1</v>
      </c>
      <c r="H108" s="440">
        <f>Zdroje!$D$3</f>
        <v>864</v>
      </c>
      <c r="I108" s="585">
        <v>75600</v>
      </c>
      <c r="J108" s="441">
        <f t="shared" ref="J108:J111" si="14">E108*H108</f>
        <v>75600</v>
      </c>
    </row>
    <row r="109" spans="1:10" ht="19.5" thickBot="1" x14ac:dyDescent="0.3">
      <c r="B109" s="438" t="s">
        <v>266</v>
      </c>
      <c r="C109" s="584" t="s">
        <v>698</v>
      </c>
      <c r="D109" s="584" t="s">
        <v>688</v>
      </c>
      <c r="E109" s="438">
        <v>57.6</v>
      </c>
      <c r="F109" s="438">
        <v>158</v>
      </c>
      <c r="G109" s="439">
        <f>ROUNDUP( I109/H109/F109,0)</f>
        <v>1</v>
      </c>
      <c r="H109" s="440">
        <f>Zdroje!$D$4</f>
        <v>720</v>
      </c>
      <c r="I109" s="585">
        <v>47923.199999999997</v>
      </c>
      <c r="J109" s="441">
        <f t="shared" si="14"/>
        <v>41472</v>
      </c>
    </row>
    <row r="110" spans="1:10" ht="19.5" thickBot="1" x14ac:dyDescent="0.3">
      <c r="B110" s="438" t="s">
        <v>267</v>
      </c>
      <c r="C110" s="584" t="s">
        <v>657</v>
      </c>
      <c r="D110" s="584" t="s">
        <v>700</v>
      </c>
      <c r="E110" s="438">
        <v>288</v>
      </c>
      <c r="F110" s="438">
        <v>116</v>
      </c>
      <c r="G110" s="439">
        <f>ROUNDUP( I110/H110/F110,0)</f>
        <v>3</v>
      </c>
      <c r="H110" s="440">
        <f>Zdroje!$D$5</f>
        <v>672</v>
      </c>
      <c r="I110" s="585">
        <v>193536</v>
      </c>
      <c r="J110" s="441">
        <f t="shared" si="14"/>
        <v>193536</v>
      </c>
    </row>
    <row r="111" spans="1:10" ht="19.5" thickBot="1" x14ac:dyDescent="0.3">
      <c r="B111" s="438" t="s">
        <v>268</v>
      </c>
      <c r="C111" s="584" t="s">
        <v>661</v>
      </c>
      <c r="D111" s="584" t="s">
        <v>682</v>
      </c>
      <c r="E111" s="438">
        <v>42</v>
      </c>
      <c r="F111" s="438">
        <v>101</v>
      </c>
      <c r="G111" s="439">
        <f>ROUNDUP( I111/H111/F111,0)</f>
        <v>1</v>
      </c>
      <c r="H111" s="440">
        <f>Zdroje!$D$6</f>
        <v>576</v>
      </c>
      <c r="I111" s="585">
        <v>24192</v>
      </c>
      <c r="J111" s="441">
        <f t="shared" si="14"/>
        <v>24192</v>
      </c>
    </row>
    <row r="112" spans="1:10" ht="15.75" thickBot="1" x14ac:dyDescent="0.3">
      <c r="A112" s="681" t="s">
        <v>354</v>
      </c>
      <c r="B112" s="681"/>
      <c r="C112" s="681"/>
      <c r="D112" s="681"/>
      <c r="E112" s="681"/>
      <c r="F112" s="681"/>
      <c r="G112" s="681"/>
      <c r="H112" s="681"/>
      <c r="I112" s="681"/>
    </row>
    <row r="113" spans="2:10" ht="19.5" thickBot="1" x14ac:dyDescent="0.3">
      <c r="B113" s="438" t="s">
        <v>265</v>
      </c>
      <c r="C113" s="586" t="s">
        <v>672</v>
      </c>
      <c r="D113" s="586" t="s">
        <v>697</v>
      </c>
      <c r="E113" s="438">
        <v>69.75</v>
      </c>
      <c r="F113" s="438">
        <v>22</v>
      </c>
      <c r="G113" s="439">
        <f>ROUNDUP( I113/H113/F113,0)</f>
        <v>4</v>
      </c>
      <c r="H113" s="440">
        <f>Zdroje!$D$3</f>
        <v>864</v>
      </c>
      <c r="I113" s="585">
        <v>58344</v>
      </c>
      <c r="J113" s="441">
        <f t="shared" ref="J113:J116" si="15">E113*H113</f>
        <v>60264</v>
      </c>
    </row>
    <row r="114" spans="2:10" ht="19.5" thickBot="1" x14ac:dyDescent="0.3">
      <c r="B114" s="438" t="s">
        <v>266</v>
      </c>
      <c r="C114" s="586" t="s">
        <v>698</v>
      </c>
      <c r="D114" s="586" t="s">
        <v>654</v>
      </c>
      <c r="E114" s="438">
        <v>196.15</v>
      </c>
      <c r="F114" s="438">
        <v>176.5</v>
      </c>
      <c r="G114" s="439">
        <f>ROUNDUP( I114/H114/F114,0)</f>
        <v>2</v>
      </c>
      <c r="H114" s="440">
        <f>Zdroje!$D$4</f>
        <v>720</v>
      </c>
      <c r="I114" s="585">
        <v>161284.79999999999</v>
      </c>
      <c r="J114" s="441">
        <f t="shared" si="15"/>
        <v>141228</v>
      </c>
    </row>
    <row r="115" spans="2:10" ht="19.5" thickBot="1" x14ac:dyDescent="0.3">
      <c r="B115" s="438" t="s">
        <v>267</v>
      </c>
      <c r="C115" s="584" t="s">
        <v>657</v>
      </c>
      <c r="D115" s="584" t="s">
        <v>660</v>
      </c>
      <c r="E115" s="438">
        <v>588</v>
      </c>
      <c r="F115" s="438">
        <v>215</v>
      </c>
      <c r="G115" s="439">
        <f>ROUNDUP( I115/H115/F115,0)</f>
        <v>3</v>
      </c>
      <c r="H115" s="440">
        <f>Zdroje!$D$5</f>
        <v>672</v>
      </c>
      <c r="I115" s="585">
        <v>395136</v>
      </c>
      <c r="J115" s="441">
        <f t="shared" si="15"/>
        <v>395136</v>
      </c>
    </row>
    <row r="116" spans="2:10" ht="19.5" thickBot="1" x14ac:dyDescent="0.3">
      <c r="B116" s="438" t="s">
        <v>268</v>
      </c>
      <c r="C116" s="584" t="s">
        <v>661</v>
      </c>
      <c r="D116" s="584" t="s">
        <v>699</v>
      </c>
      <c r="E116" s="438">
        <v>92</v>
      </c>
      <c r="F116" s="438">
        <v>181</v>
      </c>
      <c r="G116" s="439">
        <f>ROUNDUP( I116/H116/F116,0)</f>
        <v>1</v>
      </c>
      <c r="H116" s="440">
        <f>Zdroje!$D$6</f>
        <v>576</v>
      </c>
      <c r="I116" s="585">
        <v>52992</v>
      </c>
      <c r="J116" s="441">
        <f t="shared" si="15"/>
        <v>52992</v>
      </c>
    </row>
    <row r="122" spans="2:10" x14ac:dyDescent="0.25">
      <c r="I122" s="443">
        <f>SUM(I1:I121)</f>
        <v>5349512.26</v>
      </c>
    </row>
  </sheetData>
  <mergeCells count="75">
    <mergeCell ref="A112:C112"/>
    <mergeCell ref="D112:F112"/>
    <mergeCell ref="G112:I112"/>
    <mergeCell ref="A102:C102"/>
    <mergeCell ref="D102:F102"/>
    <mergeCell ref="G102:I102"/>
    <mergeCell ref="A107:C107"/>
    <mergeCell ref="D107:F107"/>
    <mergeCell ref="G107:I107"/>
    <mergeCell ref="A92:C92"/>
    <mergeCell ref="D92:F92"/>
    <mergeCell ref="G92:I92"/>
    <mergeCell ref="A97:C97"/>
    <mergeCell ref="D97:F97"/>
    <mergeCell ref="G97:I97"/>
    <mergeCell ref="A82:C82"/>
    <mergeCell ref="D82:F82"/>
    <mergeCell ref="G82:I82"/>
    <mergeCell ref="A87:C87"/>
    <mergeCell ref="D87:F87"/>
    <mergeCell ref="G87:I87"/>
    <mergeCell ref="A72:C72"/>
    <mergeCell ref="D72:F72"/>
    <mergeCell ref="G72:I72"/>
    <mergeCell ref="A77:C77"/>
    <mergeCell ref="D77:F77"/>
    <mergeCell ref="G77:I77"/>
    <mergeCell ref="A51:C51"/>
    <mergeCell ref="D51:F51"/>
    <mergeCell ref="G51:I51"/>
    <mergeCell ref="A56:C56"/>
    <mergeCell ref="D56:F56"/>
    <mergeCell ref="G56:I56"/>
    <mergeCell ref="A41:C41"/>
    <mergeCell ref="D41:F41"/>
    <mergeCell ref="G41:I41"/>
    <mergeCell ref="A46:C46"/>
    <mergeCell ref="D46:F46"/>
    <mergeCell ref="G46:I46"/>
    <mergeCell ref="A34:C34"/>
    <mergeCell ref="D34:F34"/>
    <mergeCell ref="G34:I34"/>
    <mergeCell ref="A36:C36"/>
    <mergeCell ref="D36:F36"/>
    <mergeCell ref="G36:I36"/>
    <mergeCell ref="D26:F26"/>
    <mergeCell ref="G26:I26"/>
    <mergeCell ref="A28:C28"/>
    <mergeCell ref="D28:F28"/>
    <mergeCell ref="G28:I28"/>
    <mergeCell ref="A11:C11"/>
    <mergeCell ref="D11:F11"/>
    <mergeCell ref="G11:I11"/>
    <mergeCell ref="A67:C67"/>
    <mergeCell ref="D67:F67"/>
    <mergeCell ref="G67:I67"/>
    <mergeCell ref="A62:C62"/>
    <mergeCell ref="D62:F62"/>
    <mergeCell ref="G62:I62"/>
    <mergeCell ref="A16:C16"/>
    <mergeCell ref="D16:F16"/>
    <mergeCell ref="G16:I16"/>
    <mergeCell ref="A21:C21"/>
    <mergeCell ref="D21:F21"/>
    <mergeCell ref="G21:I21"/>
    <mergeCell ref="A26:C26"/>
    <mergeCell ref="A2:C2"/>
    <mergeCell ref="D2:F2"/>
    <mergeCell ref="G2:I2"/>
    <mergeCell ref="A9:C9"/>
    <mergeCell ref="D9:F9"/>
    <mergeCell ref="G9:I9"/>
    <mergeCell ref="A4:C4"/>
    <mergeCell ref="D4:F4"/>
    <mergeCell ref="G4:I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0CFEA-362A-490A-9C05-074FB6E236D7}">
  <dimension ref="A1:G24"/>
  <sheetViews>
    <sheetView zoomScale="85" zoomScaleNormal="85" workbookViewId="0">
      <selection activeCell="C29" sqref="C29"/>
    </sheetView>
  </sheetViews>
  <sheetFormatPr defaultColWidth="53.42578125" defaultRowHeight="15" x14ac:dyDescent="0.25"/>
  <cols>
    <col min="2" max="2" width="78.85546875" customWidth="1"/>
    <col min="3" max="3" width="41" customWidth="1"/>
    <col min="4" max="4" width="21" style="437" customWidth="1"/>
    <col min="5" max="5" width="27.85546875" style="437" customWidth="1"/>
    <col min="6" max="6" width="29.42578125" style="437" customWidth="1"/>
    <col min="7" max="7" width="34.42578125" customWidth="1"/>
    <col min="8" max="8" width="34" customWidth="1"/>
    <col min="9" max="9" width="18.42578125" customWidth="1"/>
  </cols>
  <sheetData>
    <row r="1" spans="1:7" x14ac:dyDescent="0.25">
      <c r="A1" s="82"/>
      <c r="B1" s="82" t="s">
        <v>0</v>
      </c>
      <c r="C1" s="82" t="s">
        <v>277</v>
      </c>
      <c r="D1" s="580" t="s">
        <v>260</v>
      </c>
      <c r="E1" s="580" t="s">
        <v>258</v>
      </c>
      <c r="F1" s="580" t="s">
        <v>278</v>
      </c>
      <c r="G1" s="82" t="s">
        <v>279</v>
      </c>
    </row>
    <row r="2" spans="1:7" x14ac:dyDescent="0.25">
      <c r="A2" s="444" t="s">
        <v>266</v>
      </c>
      <c r="B2" s="444"/>
      <c r="C2" s="444"/>
      <c r="D2" s="581"/>
      <c r="E2" s="581"/>
      <c r="F2" s="581"/>
      <c r="G2" s="435"/>
    </row>
    <row r="3" spans="1:7" ht="18.75" x14ac:dyDescent="0.25">
      <c r="B3" s="438" t="s">
        <v>280</v>
      </c>
      <c r="C3" s="515">
        <v>144014.39999999999</v>
      </c>
      <c r="D3" s="582">
        <v>262</v>
      </c>
      <c r="E3" s="582" t="s">
        <v>642</v>
      </c>
      <c r="F3" s="582" t="s">
        <v>654</v>
      </c>
      <c r="G3" s="438">
        <v>177.45</v>
      </c>
    </row>
    <row r="4" spans="1:7" ht="18.75" x14ac:dyDescent="0.25">
      <c r="B4" s="438" t="s">
        <v>281</v>
      </c>
      <c r="C4" s="515">
        <v>0</v>
      </c>
      <c r="D4" s="582">
        <v>163.5</v>
      </c>
      <c r="E4" s="582" t="s">
        <v>642</v>
      </c>
      <c r="F4" s="582" t="s">
        <v>655</v>
      </c>
      <c r="G4" s="438">
        <v>0</v>
      </c>
    </row>
    <row r="5" spans="1:7" ht="18.75" x14ac:dyDescent="0.25">
      <c r="B5" s="438" t="s">
        <v>282</v>
      </c>
      <c r="C5" s="515">
        <v>1403256</v>
      </c>
      <c r="D5" s="582">
        <v>277</v>
      </c>
      <c r="E5" s="582" t="s">
        <v>642</v>
      </c>
      <c r="F5" s="582" t="s">
        <v>656</v>
      </c>
      <c r="G5" s="438">
        <v>1755.75</v>
      </c>
    </row>
    <row r="6" spans="1:7" x14ac:dyDescent="0.25">
      <c r="A6" s="444" t="s">
        <v>267</v>
      </c>
      <c r="B6" s="444"/>
      <c r="C6" s="444"/>
      <c r="D6" s="581"/>
      <c r="E6" s="581"/>
      <c r="F6" s="581"/>
      <c r="G6" s="435"/>
    </row>
    <row r="7" spans="1:7" ht="18.75" x14ac:dyDescent="0.25">
      <c r="B7" s="438" t="s">
        <v>283</v>
      </c>
      <c r="C7" s="515">
        <v>241440</v>
      </c>
      <c r="D7" s="582">
        <v>319</v>
      </c>
      <c r="E7" s="582" t="s">
        <v>657</v>
      </c>
      <c r="F7" s="582" t="s">
        <v>658</v>
      </c>
      <c r="G7" s="438">
        <v>360</v>
      </c>
    </row>
    <row r="8" spans="1:7" ht="18.75" x14ac:dyDescent="0.25">
      <c r="B8" s="438" t="s">
        <v>648</v>
      </c>
      <c r="C8" s="515">
        <v>0</v>
      </c>
      <c r="D8" s="582">
        <v>104</v>
      </c>
      <c r="E8" s="582" t="s">
        <v>657</v>
      </c>
      <c r="F8" s="582" t="s">
        <v>653</v>
      </c>
      <c r="G8" s="438">
        <v>0</v>
      </c>
    </row>
    <row r="9" spans="1:7" ht="18.75" x14ac:dyDescent="0.25">
      <c r="B9" s="438" t="s">
        <v>284</v>
      </c>
      <c r="C9" s="515">
        <v>2588064</v>
      </c>
      <c r="D9" s="582">
        <v>235</v>
      </c>
      <c r="E9" s="582" t="s">
        <v>659</v>
      </c>
      <c r="F9" s="582" t="s">
        <v>660</v>
      </c>
      <c r="G9" s="438">
        <v>3786.5</v>
      </c>
    </row>
    <row r="10" spans="1:7" x14ac:dyDescent="0.25">
      <c r="A10" s="444" t="s">
        <v>268</v>
      </c>
      <c r="B10" s="444"/>
      <c r="C10" s="444"/>
      <c r="D10" s="581"/>
      <c r="E10" s="581"/>
      <c r="F10" s="581"/>
      <c r="G10" s="435"/>
    </row>
    <row r="11" spans="1:7" ht="18.75" x14ac:dyDescent="0.25">
      <c r="B11" s="438" t="s">
        <v>285</v>
      </c>
      <c r="C11" s="515">
        <v>17280</v>
      </c>
      <c r="D11" s="582">
        <v>176</v>
      </c>
      <c r="E11" s="582" t="s">
        <v>661</v>
      </c>
      <c r="F11" s="582" t="s">
        <v>662</v>
      </c>
      <c r="G11" s="438">
        <v>30</v>
      </c>
    </row>
    <row r="12" spans="1:7" ht="18.75" x14ac:dyDescent="0.25">
      <c r="B12" s="438" t="s">
        <v>649</v>
      </c>
      <c r="C12" s="515">
        <v>0</v>
      </c>
      <c r="D12" s="582">
        <v>90</v>
      </c>
      <c r="E12" s="582" t="s">
        <v>661</v>
      </c>
      <c r="F12" s="582" t="s">
        <v>663</v>
      </c>
      <c r="G12" s="438">
        <v>0</v>
      </c>
    </row>
    <row r="13" spans="1:7" ht="18.75" x14ac:dyDescent="0.25">
      <c r="B13" s="438" t="s">
        <v>286</v>
      </c>
      <c r="C13" s="515">
        <v>337680</v>
      </c>
      <c r="D13" s="582">
        <v>185</v>
      </c>
      <c r="E13" s="582" t="s">
        <v>661</v>
      </c>
      <c r="F13" s="582" t="s">
        <v>664</v>
      </c>
      <c r="G13" s="438">
        <v>549.5</v>
      </c>
    </row>
    <row r="14" spans="1:7" x14ac:dyDescent="0.25">
      <c r="A14" s="444" t="s">
        <v>269</v>
      </c>
      <c r="B14" s="444"/>
      <c r="C14" s="444"/>
      <c r="D14" s="581"/>
      <c r="E14" s="581"/>
      <c r="F14" s="581"/>
      <c r="G14" s="435"/>
    </row>
    <row r="15" spans="1:7" ht="18.75" x14ac:dyDescent="0.25">
      <c r="B15" s="438" t="s">
        <v>287</v>
      </c>
      <c r="C15" s="515">
        <v>24960</v>
      </c>
      <c r="D15" s="582">
        <v>100</v>
      </c>
      <c r="E15" s="582" t="s">
        <v>664</v>
      </c>
      <c r="F15" s="582" t="s">
        <v>665</v>
      </c>
      <c r="G15" s="438">
        <v>40</v>
      </c>
    </row>
    <row r="16" spans="1:7" ht="18.75" x14ac:dyDescent="0.25">
      <c r="B16" s="445" t="s">
        <v>288</v>
      </c>
      <c r="C16" s="515">
        <v>218352</v>
      </c>
      <c r="D16" s="582">
        <v>180</v>
      </c>
      <c r="E16" s="582" t="s">
        <v>666</v>
      </c>
      <c r="F16" s="582" t="s">
        <v>667</v>
      </c>
      <c r="G16" s="445">
        <v>280.5</v>
      </c>
    </row>
    <row r="17" spans="1:7" x14ac:dyDescent="0.25">
      <c r="A17" s="444" t="s">
        <v>273</v>
      </c>
      <c r="B17" s="444"/>
      <c r="C17" s="444"/>
      <c r="D17" s="581"/>
      <c r="E17" s="581"/>
      <c r="F17" s="581"/>
      <c r="G17" s="435"/>
    </row>
    <row r="18" spans="1:7" ht="18.75" x14ac:dyDescent="0.25">
      <c r="B18" s="438" t="s">
        <v>289</v>
      </c>
      <c r="C18" s="515">
        <v>80242.679999999993</v>
      </c>
      <c r="D18" s="582">
        <v>451</v>
      </c>
      <c r="E18" s="582" t="s">
        <v>333</v>
      </c>
      <c r="F18" s="582" t="s">
        <v>668</v>
      </c>
      <c r="G18" s="438">
        <v>0</v>
      </c>
    </row>
    <row r="19" spans="1:7" ht="18.75" x14ac:dyDescent="0.25">
      <c r="B19" s="438" t="s">
        <v>290</v>
      </c>
      <c r="C19" s="515">
        <v>294223.18</v>
      </c>
      <c r="D19" s="582">
        <v>451</v>
      </c>
      <c r="E19" s="582" t="s">
        <v>333</v>
      </c>
      <c r="F19" s="582" t="s">
        <v>668</v>
      </c>
      <c r="G19" s="438">
        <v>0</v>
      </c>
    </row>
    <row r="22" spans="1:7" x14ac:dyDescent="0.25">
      <c r="D22" s="583"/>
    </row>
    <row r="24" spans="1:7" x14ac:dyDescent="0.25">
      <c r="B24" s="437" t="s">
        <v>262</v>
      </c>
      <c r="C24" s="441">
        <f>SUM(C3:C23)</f>
        <v>5349512.26</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2"/>
  <sheetViews>
    <sheetView topLeftCell="A4" zoomScale="80" zoomScaleNormal="80" workbookViewId="0">
      <selection activeCell="G43" sqref="G43"/>
    </sheetView>
  </sheetViews>
  <sheetFormatPr defaultColWidth="8.85546875" defaultRowHeight="15" x14ac:dyDescent="0.25"/>
  <cols>
    <col min="1" max="1" width="47.85546875" style="4" customWidth="1"/>
    <col min="2" max="2" width="66.7109375" style="4" customWidth="1"/>
    <col min="3" max="3" width="14.28515625" style="9" customWidth="1"/>
    <col min="4" max="4" width="23.42578125" style="4" customWidth="1"/>
    <col min="5" max="16384" width="8.85546875" style="4"/>
  </cols>
  <sheetData>
    <row r="1" spans="1:4" ht="18" thickTop="1" thickBot="1" x14ac:dyDescent="0.3">
      <c r="A1" s="1" t="s">
        <v>0</v>
      </c>
      <c r="B1" s="2" t="s">
        <v>1</v>
      </c>
      <c r="C1" s="7" t="s">
        <v>9</v>
      </c>
      <c r="D1" s="3" t="s">
        <v>2</v>
      </c>
    </row>
    <row r="2" spans="1:4" ht="147" customHeight="1" thickTop="1" thickBot="1" x14ac:dyDescent="0.3">
      <c r="A2" s="205" t="s">
        <v>3</v>
      </c>
      <c r="B2" s="5" t="s">
        <v>4</v>
      </c>
      <c r="C2" s="8" t="s">
        <v>10</v>
      </c>
      <c r="D2" s="226">
        <v>10</v>
      </c>
    </row>
    <row r="3" spans="1:4" ht="41.45" customHeight="1" x14ac:dyDescent="0.25">
      <c r="A3" s="691" t="s">
        <v>5</v>
      </c>
      <c r="B3" s="704" t="s">
        <v>13</v>
      </c>
      <c r="C3" s="706" t="s">
        <v>11</v>
      </c>
      <c r="D3" s="693">
        <v>0.04</v>
      </c>
    </row>
    <row r="4" spans="1:4" ht="63" customHeight="1" thickBot="1" x14ac:dyDescent="0.3">
      <c r="A4" s="692"/>
      <c r="B4" s="705"/>
      <c r="C4" s="707"/>
      <c r="D4" s="694"/>
    </row>
    <row r="5" spans="1:4" ht="49.5" x14ac:dyDescent="0.25">
      <c r="A5" s="695" t="s">
        <v>6</v>
      </c>
      <c r="B5" s="6" t="s">
        <v>7</v>
      </c>
      <c r="C5" s="710" t="s">
        <v>11</v>
      </c>
      <c r="D5" s="697">
        <v>0.05</v>
      </c>
    </row>
    <row r="6" spans="1:4" ht="50.25" thickBot="1" x14ac:dyDescent="0.3">
      <c r="A6" s="696"/>
      <c r="B6" s="5" t="s">
        <v>8</v>
      </c>
      <c r="C6" s="711"/>
      <c r="D6" s="698"/>
    </row>
    <row r="7" spans="1:4" ht="17.25" thickBot="1" x14ac:dyDescent="0.3">
      <c r="A7" s="222" t="s">
        <v>142</v>
      </c>
      <c r="B7" s="224" t="s">
        <v>141</v>
      </c>
      <c r="C7" s="223" t="s">
        <v>12</v>
      </c>
      <c r="D7" s="225">
        <v>1373</v>
      </c>
    </row>
    <row r="8" spans="1:4" ht="15" customHeight="1" x14ac:dyDescent="0.25">
      <c r="A8" s="699" t="s">
        <v>373</v>
      </c>
      <c r="B8" s="687" t="s">
        <v>374</v>
      </c>
      <c r="C8" s="708" t="s">
        <v>14</v>
      </c>
      <c r="D8" s="701">
        <v>15.42</v>
      </c>
    </row>
    <row r="9" spans="1:4" ht="42" customHeight="1" thickBot="1" x14ac:dyDescent="0.3">
      <c r="A9" s="700"/>
      <c r="B9" s="703"/>
      <c r="C9" s="709"/>
      <c r="D9" s="702"/>
    </row>
    <row r="10" spans="1:4" x14ac:dyDescent="0.25">
      <c r="A10" s="685" t="s">
        <v>392</v>
      </c>
      <c r="B10" s="687" t="s">
        <v>380</v>
      </c>
      <c r="C10" s="683" t="s">
        <v>388</v>
      </c>
      <c r="D10" s="689">
        <f>D34/30</f>
        <v>45.288333333333334</v>
      </c>
    </row>
    <row r="11" spans="1:4" ht="15.75" thickBot="1" x14ac:dyDescent="0.3">
      <c r="A11" s="686"/>
      <c r="B11" s="688"/>
      <c r="C11" s="684"/>
      <c r="D11" s="690"/>
    </row>
    <row r="12" spans="1:4" ht="15" customHeight="1" thickBot="1" x14ac:dyDescent="0.3">
      <c r="A12" s="119" t="s">
        <v>26</v>
      </c>
      <c r="B12" s="119" t="s">
        <v>111</v>
      </c>
      <c r="C12" s="120" t="s">
        <v>10</v>
      </c>
      <c r="D12" s="121">
        <v>2020</v>
      </c>
    </row>
    <row r="13" spans="1:4" ht="17.25" thickBot="1" x14ac:dyDescent="0.3">
      <c r="A13" s="452"/>
      <c r="B13" s="119" t="s">
        <v>292</v>
      </c>
      <c r="C13" s="120" t="s">
        <v>10</v>
      </c>
      <c r="D13" s="121">
        <v>2022</v>
      </c>
    </row>
    <row r="14" spans="1:4" ht="30" x14ac:dyDescent="0.25">
      <c r="A14" s="453" t="s">
        <v>318</v>
      </c>
      <c r="D14" s="454">
        <v>6.6000000000000003E-2</v>
      </c>
    </row>
    <row r="15" spans="1:4" x14ac:dyDescent="0.25">
      <c r="B15" s="453"/>
      <c r="D15" s="454"/>
    </row>
    <row r="16" spans="1:4" x14ac:dyDescent="0.25">
      <c r="A16" s="4" t="s">
        <v>358</v>
      </c>
      <c r="B16" s="4" t="s">
        <v>359</v>
      </c>
      <c r="D16" s="4">
        <v>57043</v>
      </c>
    </row>
    <row r="17" spans="1:4" x14ac:dyDescent="0.25">
      <c r="A17" s="4" t="s">
        <v>363</v>
      </c>
      <c r="B17" s="4" t="s">
        <v>359</v>
      </c>
      <c r="D17" s="4">
        <v>393</v>
      </c>
    </row>
    <row r="18" spans="1:4" x14ac:dyDescent="0.25">
      <c r="A18" s="4" t="s">
        <v>364</v>
      </c>
      <c r="B18" s="4" t="s">
        <v>359</v>
      </c>
      <c r="D18" s="4">
        <v>5499</v>
      </c>
    </row>
    <row r="20" spans="1:4" x14ac:dyDescent="0.25">
      <c r="A20" s="4" t="s">
        <v>366</v>
      </c>
      <c r="B20" s="453" t="s">
        <v>365</v>
      </c>
      <c r="C20" s="9" t="s">
        <v>12</v>
      </c>
      <c r="D20" s="518">
        <v>1.22</v>
      </c>
    </row>
    <row r="21" spans="1:4" x14ac:dyDescent="0.25">
      <c r="A21" s="4" t="s">
        <v>367</v>
      </c>
      <c r="B21" s="453" t="s">
        <v>365</v>
      </c>
      <c r="C21" s="9" t="s">
        <v>12</v>
      </c>
      <c r="D21" s="4">
        <v>0</v>
      </c>
    </row>
    <row r="23" spans="1:4" x14ac:dyDescent="0.25">
      <c r="A23" s="4" t="s">
        <v>371</v>
      </c>
      <c r="B23" s="4" t="s">
        <v>368</v>
      </c>
      <c r="C23" s="9" t="s">
        <v>369</v>
      </c>
      <c r="D23" s="525">
        <f>'Merania - PrZS'!R35</f>
        <v>1.9586111111111113</v>
      </c>
    </row>
    <row r="24" spans="1:4" x14ac:dyDescent="0.25">
      <c r="A24" s="4" t="s">
        <v>372</v>
      </c>
      <c r="B24" s="4" t="s">
        <v>370</v>
      </c>
      <c r="C24" s="9" t="s">
        <v>369</v>
      </c>
      <c r="D24" s="525">
        <f>'Merania - PrZS'!R36</f>
        <v>0</v>
      </c>
    </row>
    <row r="27" spans="1:4" x14ac:dyDescent="0.25">
      <c r="A27" s="4" t="s">
        <v>378</v>
      </c>
    </row>
    <row r="28" spans="1:4" x14ac:dyDescent="0.25">
      <c r="A28" s="4" t="s">
        <v>379</v>
      </c>
    </row>
    <row r="30" spans="1:4" x14ac:dyDescent="0.25">
      <c r="A30" s="4" t="s">
        <v>384</v>
      </c>
      <c r="C30" s="9" t="s">
        <v>389</v>
      </c>
      <c r="D30" s="525">
        <f>'Merania - PZS'!G36</f>
        <v>104.63333333333334</v>
      </c>
    </row>
    <row r="31" spans="1:4" x14ac:dyDescent="0.25">
      <c r="A31" s="4" t="s">
        <v>385</v>
      </c>
      <c r="C31" s="9" t="s">
        <v>389</v>
      </c>
      <c r="D31" s="525">
        <f>D30</f>
        <v>104.63333333333334</v>
      </c>
    </row>
    <row r="32" spans="1:4" x14ac:dyDescent="0.25">
      <c r="A32" s="4" t="s">
        <v>386</v>
      </c>
      <c r="C32" s="9" t="s">
        <v>389</v>
      </c>
      <c r="D32" s="525">
        <f>'Merania - ZPR'!G36</f>
        <v>90.8</v>
      </c>
    </row>
    <row r="33" spans="1:12" x14ac:dyDescent="0.25">
      <c r="A33" s="4" t="s">
        <v>387</v>
      </c>
      <c r="C33" s="9" t="s">
        <v>389</v>
      </c>
      <c r="D33" s="525">
        <f>D32</f>
        <v>90.8</v>
      </c>
    </row>
    <row r="34" spans="1:12" ht="48" customHeight="1" x14ac:dyDescent="0.25">
      <c r="B34" s="73" t="s">
        <v>397</v>
      </c>
      <c r="C34" s="9" t="s">
        <v>12</v>
      </c>
      <c r="D34">
        <v>1358.65</v>
      </c>
      <c r="E34" s="682" t="s">
        <v>381</v>
      </c>
      <c r="F34" s="682"/>
      <c r="G34" s="682"/>
      <c r="H34" s="682"/>
      <c r="I34" s="682"/>
      <c r="J34" s="682"/>
      <c r="K34" s="682"/>
      <c r="L34" s="682"/>
    </row>
    <row r="35" spans="1:12" x14ac:dyDescent="0.25">
      <c r="B35" s="73" t="s">
        <v>383</v>
      </c>
      <c r="C35" s="9" t="s">
        <v>388</v>
      </c>
      <c r="D35">
        <f>162.96/30</f>
        <v>5.4320000000000004</v>
      </c>
    </row>
    <row r="37" spans="1:12" ht="30" x14ac:dyDescent="0.25">
      <c r="B37" s="73" t="s">
        <v>396</v>
      </c>
      <c r="C37" s="9" t="s">
        <v>399</v>
      </c>
      <c r="D37">
        <v>2012.6</v>
      </c>
      <c r="E37" s="682" t="s">
        <v>381</v>
      </c>
      <c r="F37" s="682"/>
      <c r="G37" s="682"/>
      <c r="H37" s="682"/>
      <c r="I37" s="682"/>
      <c r="J37" s="682"/>
      <c r="K37" s="682"/>
      <c r="L37" s="682"/>
    </row>
    <row r="38" spans="1:12" x14ac:dyDescent="0.25">
      <c r="B38" s="73" t="s">
        <v>383</v>
      </c>
      <c r="C38" s="9" t="s">
        <v>388</v>
      </c>
      <c r="D38" s="485">
        <f>(D37/79*100-D37)/30</f>
        <v>17.833164556962021</v>
      </c>
    </row>
    <row r="39" spans="1:12" x14ac:dyDescent="0.25">
      <c r="B39" s="4" t="s">
        <v>398</v>
      </c>
      <c r="C39" s="9" t="s">
        <v>388</v>
      </c>
      <c r="D39" s="525">
        <f>D37/30</f>
        <v>67.086666666666659</v>
      </c>
    </row>
    <row r="41" spans="1:12" x14ac:dyDescent="0.25">
      <c r="B41" t="s">
        <v>622</v>
      </c>
      <c r="D41" s="577">
        <v>5424905</v>
      </c>
      <c r="E41" s="348" t="s">
        <v>623</v>
      </c>
    </row>
    <row r="42" spans="1:12" x14ac:dyDescent="0.25">
      <c r="B42" s="73" t="s">
        <v>625</v>
      </c>
      <c r="D42" s="577">
        <v>900000</v>
      </c>
      <c r="E42" s="348" t="s">
        <v>626</v>
      </c>
    </row>
    <row r="43" spans="1:12" x14ac:dyDescent="0.25">
      <c r="B43" s="73" t="s">
        <v>628</v>
      </c>
      <c r="D43" s="577">
        <v>9411821</v>
      </c>
      <c r="E43" s="348" t="s">
        <v>629</v>
      </c>
    </row>
    <row r="44" spans="1:12" x14ac:dyDescent="0.25">
      <c r="B44" s="73" t="s">
        <v>630</v>
      </c>
      <c r="D44" s="577">
        <v>51481326</v>
      </c>
      <c r="E44" s="348" t="s">
        <v>629</v>
      </c>
    </row>
    <row r="45" spans="1:12" x14ac:dyDescent="0.25">
      <c r="B45" s="73" t="s">
        <v>631</v>
      </c>
      <c r="D45" s="577">
        <f>(D43/10)*12</f>
        <v>11294185.199999999</v>
      </c>
      <c r="E45" s="348" t="s">
        <v>632</v>
      </c>
    </row>
    <row r="46" spans="1:12" x14ac:dyDescent="0.25">
      <c r="B46" s="73" t="s">
        <v>633</v>
      </c>
      <c r="D46" s="577">
        <f>(D44/10)*12</f>
        <v>61777591.199999996</v>
      </c>
      <c r="E46" s="348" t="s">
        <v>634</v>
      </c>
    </row>
    <row r="47" spans="1:12" x14ac:dyDescent="0.25">
      <c r="B47" s="73" t="s">
        <v>635</v>
      </c>
      <c r="D47" s="578">
        <f>D45/D41</f>
        <v>2.081913913699871</v>
      </c>
      <c r="E47" s="348" t="s">
        <v>636</v>
      </c>
    </row>
    <row r="48" spans="1:12" x14ac:dyDescent="0.25">
      <c r="B48" s="73" t="s">
        <v>637</v>
      </c>
      <c r="D48" s="578">
        <f>D46/D41</f>
        <v>11.387773831984154</v>
      </c>
      <c r="E48" s="348" t="s">
        <v>636</v>
      </c>
    </row>
    <row r="49" spans="2:5" x14ac:dyDescent="0.25">
      <c r="B49" s="73" t="s">
        <v>640</v>
      </c>
      <c r="C49" s="9" t="s">
        <v>12</v>
      </c>
      <c r="D49" s="578">
        <v>0.03</v>
      </c>
      <c r="E49" s="348"/>
    </row>
    <row r="51" spans="2:5" x14ac:dyDescent="0.25">
      <c r="B51" s="579" t="s">
        <v>641</v>
      </c>
      <c r="C51" s="9" t="s">
        <v>12</v>
      </c>
      <c r="D51" s="525">
        <f>(D47+D48)*D49</f>
        <v>0.40409063237052073</v>
      </c>
      <c r="E51" s="348"/>
    </row>
    <row r="52" spans="2:5" x14ac:dyDescent="0.25">
      <c r="B52" s="4" t="s">
        <v>639</v>
      </c>
      <c r="C52" s="9" t="s">
        <v>369</v>
      </c>
      <c r="D52" s="525">
        <f>'Merania - KV'!C36</f>
        <v>0.17422222222222222</v>
      </c>
    </row>
  </sheetData>
  <mergeCells count="17">
    <mergeCell ref="A3:A4"/>
    <mergeCell ref="D3:D4"/>
    <mergeCell ref="A5:A6"/>
    <mergeCell ref="D5:D6"/>
    <mergeCell ref="A8:A9"/>
    <mergeCell ref="D8:D9"/>
    <mergeCell ref="B8:B9"/>
    <mergeCell ref="B3:B4"/>
    <mergeCell ref="C3:C4"/>
    <mergeCell ref="C8:C9"/>
    <mergeCell ref="C5:C6"/>
    <mergeCell ref="E34:L34"/>
    <mergeCell ref="E37:L37"/>
    <mergeCell ref="C10:C11"/>
    <mergeCell ref="A10:A11"/>
    <mergeCell ref="B10:B11"/>
    <mergeCell ref="D10:D1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6CBB5-2569-4BDB-ABCF-5D30858CDA72}">
  <dimension ref="D1:T1"/>
  <sheetViews>
    <sheetView zoomScale="85" zoomScaleNormal="85" workbookViewId="0">
      <selection activeCell="B100" sqref="B100"/>
    </sheetView>
  </sheetViews>
  <sheetFormatPr defaultColWidth="8.85546875" defaultRowHeight="15" x14ac:dyDescent="0.25"/>
  <sheetData>
    <row r="1" spans="4:20" x14ac:dyDescent="0.25">
      <c r="D1" s="347"/>
      <c r="E1" s="347"/>
      <c r="F1" s="347"/>
      <c r="G1" s="347"/>
      <c r="H1" s="347"/>
      <c r="I1" s="347"/>
      <c r="J1" s="347"/>
      <c r="K1" s="347"/>
      <c r="L1" s="347"/>
      <c r="M1" s="347"/>
      <c r="N1" s="347"/>
      <c r="O1" s="347"/>
      <c r="P1" s="347"/>
      <c r="Q1" s="347"/>
      <c r="R1" s="347"/>
      <c r="S1" s="347"/>
      <c r="T1" s="347"/>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3E474-9CCC-4917-9749-7DAE34306C85}">
  <dimension ref="A1"/>
  <sheetViews>
    <sheetView workbookViewId="0">
      <selection activeCell="B114" sqref="B114"/>
    </sheetView>
  </sheetViews>
  <sheetFormatPr defaultRowHeight="15" x14ac:dyDescent="0.25"/>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32BD9-FEEE-4E39-B775-AFD9A474E722}">
  <dimension ref="A1:S64"/>
  <sheetViews>
    <sheetView workbookViewId="0">
      <selection activeCell="A5" sqref="A5"/>
    </sheetView>
  </sheetViews>
  <sheetFormatPr defaultColWidth="39.7109375" defaultRowHeight="15" x14ac:dyDescent="0.25"/>
  <cols>
    <col min="1" max="1" width="17.85546875" customWidth="1"/>
    <col min="2" max="2" width="89.7109375" customWidth="1"/>
    <col min="3" max="11" width="14" bestFit="1" customWidth="1"/>
    <col min="12" max="17" width="15.85546875" customWidth="1"/>
    <col min="18" max="18" width="12.42578125" customWidth="1"/>
  </cols>
  <sheetData>
    <row r="1" spans="1:18" ht="15.75" thickBot="1" x14ac:dyDescent="0.3">
      <c r="A1" s="475"/>
      <c r="B1" s="484"/>
      <c r="C1" s="712" t="s">
        <v>308</v>
      </c>
      <c r="D1" s="713"/>
      <c r="E1" s="713"/>
      <c r="F1" s="713"/>
      <c r="G1" s="713"/>
      <c r="H1" s="713"/>
      <c r="I1" s="714"/>
      <c r="J1" s="712" t="s">
        <v>308</v>
      </c>
      <c r="K1" s="713"/>
      <c r="L1" s="713"/>
      <c r="M1" s="713"/>
      <c r="N1" s="713"/>
      <c r="O1" s="713"/>
      <c r="P1" s="713"/>
      <c r="Q1" s="714"/>
    </row>
    <row r="2" spans="1:18" ht="41.25" customHeight="1" thickBot="1" x14ac:dyDescent="0.3">
      <c r="A2" s="476" t="s">
        <v>309</v>
      </c>
      <c r="B2" s="481" t="s">
        <v>362</v>
      </c>
      <c r="C2" s="482" t="s">
        <v>171</v>
      </c>
      <c r="D2" s="482" t="s">
        <v>172</v>
      </c>
      <c r="E2" s="482" t="s">
        <v>173</v>
      </c>
      <c r="F2" s="482" t="s">
        <v>310</v>
      </c>
      <c r="G2" s="482" t="s">
        <v>311</v>
      </c>
      <c r="H2" s="482" t="s">
        <v>312</v>
      </c>
      <c r="I2" s="482" t="s">
        <v>313</v>
      </c>
      <c r="J2" s="482" t="s">
        <v>332</v>
      </c>
      <c r="K2" s="482" t="s">
        <v>402</v>
      </c>
      <c r="L2" s="482" t="s">
        <v>403</v>
      </c>
      <c r="M2" s="482" t="s">
        <v>404</v>
      </c>
      <c r="N2" s="482" t="s">
        <v>405</v>
      </c>
      <c r="O2" s="482" t="s">
        <v>406</v>
      </c>
      <c r="P2" s="482" t="s">
        <v>407</v>
      </c>
      <c r="Q2" s="482" t="s">
        <v>408</v>
      </c>
    </row>
    <row r="3" spans="1:18" ht="15.75" thickBot="1" x14ac:dyDescent="0.3">
      <c r="A3" s="477" t="s">
        <v>127</v>
      </c>
      <c r="B3" s="483"/>
      <c r="C3" s="478"/>
      <c r="D3" s="478"/>
      <c r="E3" s="478"/>
      <c r="F3" s="478"/>
      <c r="G3" s="478"/>
      <c r="H3" s="478"/>
      <c r="I3" s="478"/>
      <c r="J3" s="478"/>
      <c r="K3" s="478"/>
      <c r="L3" s="478"/>
      <c r="M3" s="478"/>
      <c r="N3" s="478"/>
      <c r="O3" s="478"/>
      <c r="P3" s="478"/>
      <c r="Q3" s="478"/>
    </row>
    <row r="4" spans="1:18" ht="15.75" thickBot="1" x14ac:dyDescent="0.3">
      <c r="A4" s="477" t="s">
        <v>174</v>
      </c>
      <c r="B4" s="483"/>
      <c r="C4" s="526"/>
      <c r="D4" s="526"/>
      <c r="E4" s="526"/>
      <c r="F4" s="526"/>
      <c r="G4" s="526"/>
      <c r="H4" s="526"/>
      <c r="I4" s="526"/>
      <c r="J4" s="526"/>
      <c r="K4" s="526"/>
      <c r="L4" s="526"/>
      <c r="M4" s="526"/>
      <c r="N4" s="526"/>
      <c r="O4" s="526"/>
      <c r="P4" s="526"/>
      <c r="Q4" s="526"/>
      <c r="R4" s="208">
        <f>SUM(C4:Q4)</f>
        <v>0</v>
      </c>
    </row>
    <row r="5" spans="1:18" ht="15.75" thickBot="1" x14ac:dyDescent="0.3">
      <c r="A5" s="479" t="s">
        <v>175</v>
      </c>
      <c r="B5" s="483" t="s">
        <v>409</v>
      </c>
      <c r="C5" s="526">
        <v>0.2</v>
      </c>
      <c r="D5" s="526">
        <v>0.35</v>
      </c>
      <c r="E5" s="526">
        <v>0.13333333333333333</v>
      </c>
      <c r="F5" s="526">
        <v>8.3333333333333329E-2</v>
      </c>
      <c r="G5" s="526">
        <v>8.3333333333333329E-2</v>
      </c>
      <c r="H5" s="526">
        <v>6.6666666666666666E-2</v>
      </c>
      <c r="I5" s="526">
        <v>8.3333333333333329E-2</v>
      </c>
      <c r="J5" s="526">
        <v>8.3333333333333329E-2</v>
      </c>
      <c r="K5" s="526">
        <v>0.1</v>
      </c>
      <c r="L5" s="526">
        <v>0.36666666666666664</v>
      </c>
      <c r="M5" s="526">
        <v>0.15</v>
      </c>
      <c r="N5" s="526">
        <v>0.1</v>
      </c>
      <c r="O5" s="526">
        <v>0.05</v>
      </c>
      <c r="P5" s="526">
        <v>8.3333333333333329E-2</v>
      </c>
      <c r="Q5" s="526">
        <v>3.3333333333333333E-2</v>
      </c>
      <c r="R5" s="208">
        <f t="shared" ref="R5:R34" si="0">SUM(C5:Q5)</f>
        <v>1.9666666666666668</v>
      </c>
    </row>
    <row r="6" spans="1:18" ht="15.75" thickBot="1" x14ac:dyDescent="0.3">
      <c r="A6" s="479" t="s">
        <v>176</v>
      </c>
      <c r="B6" s="483" t="s">
        <v>410</v>
      </c>
      <c r="C6" s="526">
        <v>0.13333333333333333</v>
      </c>
      <c r="D6" s="526">
        <v>0.31666666666666665</v>
      </c>
      <c r="E6" s="526">
        <v>0.16666666666666666</v>
      </c>
      <c r="F6" s="526">
        <v>8.3333333333333329E-2</v>
      </c>
      <c r="G6" s="526">
        <v>8.3333333333333329E-2</v>
      </c>
      <c r="H6" s="526">
        <v>8.3333333333333329E-2</v>
      </c>
      <c r="I6" s="526">
        <v>0.1</v>
      </c>
      <c r="J6" s="526">
        <v>6.6666666666666666E-2</v>
      </c>
      <c r="K6" s="526">
        <v>0.11666666666666667</v>
      </c>
      <c r="L6" s="526">
        <v>0.33333333333333331</v>
      </c>
      <c r="M6" s="526">
        <v>0.16666666666666666</v>
      </c>
      <c r="N6" s="526">
        <v>6.6666666666666666E-2</v>
      </c>
      <c r="O6" s="526">
        <v>0.1</v>
      </c>
      <c r="P6" s="526">
        <v>0.05</v>
      </c>
      <c r="Q6" s="526">
        <v>0.05</v>
      </c>
      <c r="R6" s="208">
        <f t="shared" si="0"/>
        <v>1.916666666666667</v>
      </c>
    </row>
    <row r="7" spans="1:18" ht="15.75" thickBot="1" x14ac:dyDescent="0.3">
      <c r="A7" s="479" t="s">
        <v>177</v>
      </c>
      <c r="B7" s="483" t="s">
        <v>411</v>
      </c>
      <c r="C7" s="526">
        <v>0.16666666666666666</v>
      </c>
      <c r="D7" s="526">
        <v>0.33333333333333331</v>
      </c>
      <c r="E7" s="526">
        <v>0.21666666666666667</v>
      </c>
      <c r="F7" s="526">
        <v>6.6666666666666666E-2</v>
      </c>
      <c r="G7" s="526">
        <v>0.05</v>
      </c>
      <c r="H7" s="526">
        <v>0.1</v>
      </c>
      <c r="I7" s="526">
        <v>8.3333333333333329E-2</v>
      </c>
      <c r="J7" s="526">
        <v>0.1</v>
      </c>
      <c r="K7" s="526">
        <v>6.6666666666666666E-2</v>
      </c>
      <c r="L7" s="526">
        <v>0.33333333333333331</v>
      </c>
      <c r="M7" s="526">
        <v>0.16666666666666666</v>
      </c>
      <c r="N7" s="526">
        <v>8.3333333333333329E-2</v>
      </c>
      <c r="O7" s="526">
        <v>0.05</v>
      </c>
      <c r="P7" s="526">
        <v>8.3333333333333329E-2</v>
      </c>
      <c r="Q7" s="526">
        <v>4.1666666666666664E-2</v>
      </c>
      <c r="R7" s="208">
        <f t="shared" si="0"/>
        <v>1.9416666666666667</v>
      </c>
    </row>
    <row r="8" spans="1:18" ht="15.75" thickBot="1" x14ac:dyDescent="0.3">
      <c r="A8" s="479" t="s">
        <v>178</v>
      </c>
      <c r="B8" s="483" t="s">
        <v>412</v>
      </c>
      <c r="C8" s="526">
        <v>0.16666666666666666</v>
      </c>
      <c r="D8" s="526">
        <v>0.3833333333333333</v>
      </c>
      <c r="E8" s="526">
        <v>0.13333333333333333</v>
      </c>
      <c r="F8" s="526">
        <v>8.3333333333333329E-2</v>
      </c>
      <c r="G8" s="526">
        <v>0.1</v>
      </c>
      <c r="H8" s="526">
        <v>6.6666666666666666E-2</v>
      </c>
      <c r="I8" s="526">
        <v>8.3333333333333329E-2</v>
      </c>
      <c r="J8" s="526">
        <v>8.3333333333333329E-2</v>
      </c>
      <c r="K8" s="526">
        <v>8.3333333333333329E-2</v>
      </c>
      <c r="L8" s="526">
        <v>0.36666666666666664</v>
      </c>
      <c r="M8" s="526">
        <v>0.15</v>
      </c>
      <c r="N8" s="526">
        <v>0.05</v>
      </c>
      <c r="O8" s="526">
        <v>8.3333333333333329E-2</v>
      </c>
      <c r="P8" s="526">
        <v>8.3333333333333329E-2</v>
      </c>
      <c r="Q8" s="526">
        <v>4.1666666666666664E-2</v>
      </c>
      <c r="R8" s="208">
        <f t="shared" si="0"/>
        <v>1.958333333333333</v>
      </c>
    </row>
    <row r="9" spans="1:18" ht="15.75" thickBot="1" x14ac:dyDescent="0.3">
      <c r="A9" s="479" t="s">
        <v>179</v>
      </c>
      <c r="B9" s="483" t="s">
        <v>413</v>
      </c>
      <c r="C9" s="526">
        <v>0.16666666666666666</v>
      </c>
      <c r="D9" s="526">
        <v>0.33333333333333331</v>
      </c>
      <c r="E9" s="526">
        <v>0.23333333333333334</v>
      </c>
      <c r="F9" s="526">
        <v>0.11666666666666667</v>
      </c>
      <c r="G9" s="526">
        <v>8.3333333333333329E-2</v>
      </c>
      <c r="H9" s="526">
        <v>8.3333333333333329E-2</v>
      </c>
      <c r="I9" s="526">
        <v>0.05</v>
      </c>
      <c r="J9" s="526">
        <v>0.05</v>
      </c>
      <c r="K9" s="526">
        <v>8.3333333333333329E-2</v>
      </c>
      <c r="L9" s="526">
        <v>0.33333333333333331</v>
      </c>
      <c r="M9" s="526">
        <v>0.16666666666666666</v>
      </c>
      <c r="N9" s="526">
        <v>0.1</v>
      </c>
      <c r="O9" s="526">
        <v>0.1</v>
      </c>
      <c r="P9" s="526">
        <v>8.3333333333333329E-2</v>
      </c>
      <c r="Q9" s="526">
        <v>4.1666666666666664E-2</v>
      </c>
      <c r="R9" s="208">
        <f t="shared" si="0"/>
        <v>2.0250000000000004</v>
      </c>
    </row>
    <row r="10" spans="1:18" ht="15.75" thickBot="1" x14ac:dyDescent="0.3">
      <c r="A10" s="479" t="s">
        <v>180</v>
      </c>
      <c r="B10" s="483" t="s">
        <v>414</v>
      </c>
      <c r="C10" s="526">
        <v>0.16666666666666666</v>
      </c>
      <c r="D10" s="526">
        <v>0.3833333333333333</v>
      </c>
      <c r="E10" s="526">
        <v>0.16666666666666666</v>
      </c>
      <c r="F10" s="526">
        <v>8.3333333333333329E-2</v>
      </c>
      <c r="G10" s="526">
        <v>0.05</v>
      </c>
      <c r="H10" s="526">
        <v>8.3333333333333329E-2</v>
      </c>
      <c r="I10" s="526">
        <v>0.1</v>
      </c>
      <c r="J10" s="526">
        <v>0.05</v>
      </c>
      <c r="K10" s="526">
        <v>0.1</v>
      </c>
      <c r="L10" s="526">
        <v>0.3</v>
      </c>
      <c r="M10" s="526">
        <v>0.16666666666666666</v>
      </c>
      <c r="N10" s="526">
        <v>8.3333333333333329E-2</v>
      </c>
      <c r="O10" s="526">
        <v>0.1</v>
      </c>
      <c r="P10" s="526">
        <v>8.3333333333333329E-2</v>
      </c>
      <c r="Q10" s="526">
        <v>4.1666666666666664E-2</v>
      </c>
      <c r="R10" s="208">
        <f t="shared" si="0"/>
        <v>1.9583333333333337</v>
      </c>
    </row>
    <row r="11" spans="1:18" ht="15.75" thickBot="1" x14ac:dyDescent="0.3">
      <c r="A11" s="479" t="s">
        <v>181</v>
      </c>
      <c r="B11" s="483" t="s">
        <v>415</v>
      </c>
      <c r="C11" s="526">
        <v>0.16666666666666666</v>
      </c>
      <c r="D11" s="526">
        <v>0.35</v>
      </c>
      <c r="E11" s="526">
        <v>0.21666666666666667</v>
      </c>
      <c r="F11" s="526">
        <v>8.3333333333333329E-2</v>
      </c>
      <c r="G11" s="526">
        <v>8.3333333333333329E-2</v>
      </c>
      <c r="H11" s="526">
        <v>6.6666666666666666E-2</v>
      </c>
      <c r="I11" s="526">
        <v>8.3333333333333329E-2</v>
      </c>
      <c r="J11" s="526">
        <v>6.6666666666666666E-2</v>
      </c>
      <c r="K11" s="526">
        <v>6.6666666666666666E-2</v>
      </c>
      <c r="L11" s="526">
        <v>0.33333333333333331</v>
      </c>
      <c r="M11" s="526">
        <v>0.13333333333333333</v>
      </c>
      <c r="N11" s="526">
        <v>0.11666666666666667</v>
      </c>
      <c r="O11" s="526">
        <v>8.3333333333333329E-2</v>
      </c>
      <c r="P11" s="526">
        <v>8.3333333333333329E-2</v>
      </c>
      <c r="Q11" s="526">
        <v>3.3333333333333333E-2</v>
      </c>
      <c r="R11" s="208">
        <f t="shared" si="0"/>
        <v>1.9666666666666666</v>
      </c>
    </row>
    <row r="12" spans="1:18" ht="15.75" thickBot="1" x14ac:dyDescent="0.3">
      <c r="A12" s="479" t="s">
        <v>182</v>
      </c>
      <c r="B12" s="483" t="s">
        <v>416</v>
      </c>
      <c r="C12" s="526">
        <v>0.2</v>
      </c>
      <c r="D12" s="526">
        <v>0.3833333333333333</v>
      </c>
      <c r="E12" s="526">
        <v>0.13333333333333333</v>
      </c>
      <c r="F12" s="526">
        <v>0.05</v>
      </c>
      <c r="G12" s="526">
        <v>8.3333333333333329E-2</v>
      </c>
      <c r="H12" s="526">
        <v>8.3333333333333329E-2</v>
      </c>
      <c r="I12" s="526">
        <v>8.3333333333333329E-2</v>
      </c>
      <c r="J12" s="526">
        <v>0.05</v>
      </c>
      <c r="K12" s="526">
        <v>8.3333333333333329E-2</v>
      </c>
      <c r="L12" s="526">
        <v>0.36666666666666664</v>
      </c>
      <c r="M12" s="526">
        <v>0.16666666666666666</v>
      </c>
      <c r="N12" s="526">
        <v>0.1</v>
      </c>
      <c r="O12" s="526">
        <v>8.3333333333333329E-2</v>
      </c>
      <c r="P12" s="526">
        <v>8.3333333333333329E-2</v>
      </c>
      <c r="Q12" s="526">
        <v>4.1666666666666664E-2</v>
      </c>
      <c r="R12" s="208">
        <f t="shared" si="0"/>
        <v>1.9916666666666667</v>
      </c>
    </row>
    <row r="13" spans="1:18" ht="15.75" thickBot="1" x14ac:dyDescent="0.3">
      <c r="A13" s="479" t="s">
        <v>183</v>
      </c>
      <c r="B13" s="483" t="s">
        <v>417</v>
      </c>
      <c r="C13" s="526">
        <v>0.15</v>
      </c>
      <c r="D13" s="526">
        <v>0.33333333333333331</v>
      </c>
      <c r="E13" s="526">
        <v>0.16666666666666666</v>
      </c>
      <c r="F13" s="526">
        <v>8.3333333333333329E-2</v>
      </c>
      <c r="G13" s="526">
        <v>0.05</v>
      </c>
      <c r="H13" s="526">
        <v>8.3333333333333329E-2</v>
      </c>
      <c r="I13" s="526">
        <v>8.3333333333333329E-2</v>
      </c>
      <c r="J13" s="526">
        <v>8.3333333333333329E-2</v>
      </c>
      <c r="K13" s="526">
        <v>0.1</v>
      </c>
      <c r="L13" s="526">
        <v>0.28333333333333333</v>
      </c>
      <c r="M13" s="526">
        <v>0.16666666666666666</v>
      </c>
      <c r="N13" s="526">
        <v>8.3333333333333329E-2</v>
      </c>
      <c r="O13" s="526">
        <v>0.1</v>
      </c>
      <c r="P13" s="526">
        <v>0.11666666666666667</v>
      </c>
      <c r="Q13" s="526">
        <v>3.3333333333333333E-2</v>
      </c>
      <c r="R13" s="208">
        <f t="shared" si="0"/>
        <v>1.9166666666666672</v>
      </c>
    </row>
    <row r="14" spans="1:18" ht="15.75" thickBot="1" x14ac:dyDescent="0.3">
      <c r="A14" s="479" t="s">
        <v>184</v>
      </c>
      <c r="B14" s="483" t="s">
        <v>418</v>
      </c>
      <c r="C14" s="526">
        <v>0.2</v>
      </c>
      <c r="D14" s="526">
        <v>0.21666666666666667</v>
      </c>
      <c r="E14" s="526">
        <v>0.23333333333333334</v>
      </c>
      <c r="F14" s="526">
        <v>6.6666666666666666E-2</v>
      </c>
      <c r="G14" s="526">
        <v>8.3333333333333329E-2</v>
      </c>
      <c r="H14" s="526">
        <v>8.3333333333333329E-2</v>
      </c>
      <c r="I14" s="526">
        <v>8.3333333333333329E-2</v>
      </c>
      <c r="J14" s="526">
        <v>0.1</v>
      </c>
      <c r="K14" s="526">
        <v>0.05</v>
      </c>
      <c r="L14" s="526">
        <v>0.33333333333333331</v>
      </c>
      <c r="M14" s="526">
        <v>0.16666666666666666</v>
      </c>
      <c r="N14" s="526">
        <v>0.11666666666666667</v>
      </c>
      <c r="O14" s="526">
        <v>8.3333333333333329E-2</v>
      </c>
      <c r="P14" s="526">
        <v>8.3333333333333329E-2</v>
      </c>
      <c r="Q14" s="526">
        <v>0.05</v>
      </c>
      <c r="R14" s="208">
        <f t="shared" si="0"/>
        <v>1.9500000000000002</v>
      </c>
    </row>
    <row r="15" spans="1:18" ht="15.75" thickBot="1" x14ac:dyDescent="0.3">
      <c r="A15" s="479" t="s">
        <v>185</v>
      </c>
      <c r="B15" s="483" t="s">
        <v>419</v>
      </c>
      <c r="C15" s="526">
        <v>0.16666666666666666</v>
      </c>
      <c r="D15" s="526">
        <v>0.35</v>
      </c>
      <c r="E15" s="526">
        <v>0.16666666666666666</v>
      </c>
      <c r="F15" s="526">
        <v>8.3333333333333329E-2</v>
      </c>
      <c r="G15" s="526">
        <v>8.3333333333333329E-2</v>
      </c>
      <c r="H15" s="526">
        <v>6.6666666666666666E-2</v>
      </c>
      <c r="I15" s="526">
        <v>0.05</v>
      </c>
      <c r="J15" s="526">
        <v>6.6666666666666666E-2</v>
      </c>
      <c r="K15" s="526">
        <v>8.3333333333333329E-2</v>
      </c>
      <c r="L15" s="526">
        <v>0.36666666666666664</v>
      </c>
      <c r="M15" s="526">
        <v>0.16666666666666666</v>
      </c>
      <c r="N15" s="526">
        <v>0.1</v>
      </c>
      <c r="O15" s="526">
        <v>0.05</v>
      </c>
      <c r="P15" s="526">
        <v>0.11666666666666667</v>
      </c>
      <c r="Q15" s="526">
        <v>4.1666666666666664E-2</v>
      </c>
      <c r="R15" s="208">
        <f t="shared" si="0"/>
        <v>1.9583333333333337</v>
      </c>
    </row>
    <row r="16" spans="1:18" ht="15.75" thickBot="1" x14ac:dyDescent="0.3">
      <c r="A16" s="479" t="s">
        <v>186</v>
      </c>
      <c r="B16" s="483" t="s">
        <v>420</v>
      </c>
      <c r="C16" s="526">
        <v>0.2</v>
      </c>
      <c r="D16" s="526">
        <v>0.33333333333333331</v>
      </c>
      <c r="E16" s="526">
        <v>0.16666666666666666</v>
      </c>
      <c r="F16" s="526">
        <v>8.3333333333333329E-2</v>
      </c>
      <c r="G16" s="526">
        <v>8.3333333333333329E-2</v>
      </c>
      <c r="H16" s="526">
        <v>8.3333333333333329E-2</v>
      </c>
      <c r="I16" s="526">
        <v>8.3333333333333329E-2</v>
      </c>
      <c r="J16" s="526">
        <v>8.3333333333333329E-2</v>
      </c>
      <c r="K16" s="526">
        <v>8.3333333333333329E-2</v>
      </c>
      <c r="L16" s="526">
        <v>0.28333333333333333</v>
      </c>
      <c r="M16" s="526">
        <v>0.16666666666666666</v>
      </c>
      <c r="N16" s="526">
        <v>0.05</v>
      </c>
      <c r="O16" s="526">
        <v>8.3333333333333329E-2</v>
      </c>
      <c r="P16" s="526">
        <v>8.3333333333333329E-2</v>
      </c>
      <c r="Q16" s="526">
        <v>0.05</v>
      </c>
      <c r="R16" s="208">
        <f t="shared" si="0"/>
        <v>1.9166666666666667</v>
      </c>
    </row>
    <row r="17" spans="1:18" ht="15.75" thickBot="1" x14ac:dyDescent="0.3">
      <c r="A17" s="479" t="s">
        <v>187</v>
      </c>
      <c r="B17" s="483" t="s">
        <v>421</v>
      </c>
      <c r="C17" s="526">
        <v>0.16666666666666666</v>
      </c>
      <c r="D17" s="526">
        <v>0.31666666666666665</v>
      </c>
      <c r="E17" s="526">
        <v>0.16666666666666666</v>
      </c>
      <c r="F17" s="526">
        <v>8.3333333333333329E-2</v>
      </c>
      <c r="G17" s="526">
        <v>8.3333333333333329E-2</v>
      </c>
      <c r="H17" s="526">
        <v>8.3333333333333329E-2</v>
      </c>
      <c r="I17" s="526">
        <v>8.3333333333333329E-2</v>
      </c>
      <c r="J17" s="526">
        <v>8.3333333333333329E-2</v>
      </c>
      <c r="K17" s="526">
        <v>6.6666666666666666E-2</v>
      </c>
      <c r="L17" s="526">
        <v>0.36666666666666664</v>
      </c>
      <c r="M17" s="526">
        <v>0.16666666666666666</v>
      </c>
      <c r="N17" s="526">
        <v>0.05</v>
      </c>
      <c r="O17" s="526">
        <v>8.3333333333333329E-2</v>
      </c>
      <c r="P17" s="526">
        <v>8.3333333333333329E-2</v>
      </c>
      <c r="Q17" s="526">
        <v>4.1666666666666664E-2</v>
      </c>
      <c r="R17" s="208">
        <f t="shared" si="0"/>
        <v>1.925</v>
      </c>
    </row>
    <row r="18" spans="1:18" ht="15.75" thickBot="1" x14ac:dyDescent="0.3">
      <c r="A18" s="479" t="s">
        <v>188</v>
      </c>
      <c r="B18" s="483" t="s">
        <v>422</v>
      </c>
      <c r="C18" s="526">
        <v>0.16666666666666666</v>
      </c>
      <c r="D18" s="526">
        <v>0.35</v>
      </c>
      <c r="E18" s="526">
        <v>0.13333333333333333</v>
      </c>
      <c r="F18" s="526">
        <v>6.6666666666666666E-2</v>
      </c>
      <c r="G18" s="526">
        <v>0.1</v>
      </c>
      <c r="H18" s="526">
        <v>0.1</v>
      </c>
      <c r="I18" s="526">
        <v>0.05</v>
      </c>
      <c r="J18" s="526">
        <v>6.6666666666666666E-2</v>
      </c>
      <c r="K18" s="526">
        <v>8.3333333333333329E-2</v>
      </c>
      <c r="L18" s="526">
        <v>0.33333333333333331</v>
      </c>
      <c r="M18" s="526">
        <v>0.16666666666666666</v>
      </c>
      <c r="N18" s="526">
        <v>8.3333333333333329E-2</v>
      </c>
      <c r="O18" s="526">
        <v>0.1</v>
      </c>
      <c r="P18" s="526">
        <v>8.3333333333333329E-2</v>
      </c>
      <c r="Q18" s="526">
        <v>4.1666666666666664E-2</v>
      </c>
      <c r="R18" s="208">
        <f t="shared" si="0"/>
        <v>1.9249999999999998</v>
      </c>
    </row>
    <row r="19" spans="1:18" ht="15.75" thickBot="1" x14ac:dyDescent="0.3">
      <c r="A19" s="479" t="s">
        <v>189</v>
      </c>
      <c r="B19" s="483" t="s">
        <v>423</v>
      </c>
      <c r="C19" s="526">
        <v>0.2</v>
      </c>
      <c r="D19" s="526">
        <v>0.35</v>
      </c>
      <c r="E19" s="526">
        <v>0.23333333333333334</v>
      </c>
      <c r="F19" s="526">
        <v>0.11666666666666667</v>
      </c>
      <c r="G19" s="526">
        <v>0.05</v>
      </c>
      <c r="H19" s="526">
        <v>8.3333333333333329E-2</v>
      </c>
      <c r="I19" s="526">
        <v>0.1</v>
      </c>
      <c r="J19" s="526">
        <v>8.3333333333333329E-2</v>
      </c>
      <c r="K19" s="526">
        <v>8.3333333333333329E-2</v>
      </c>
      <c r="L19" s="526">
        <v>0.33333333333333331</v>
      </c>
      <c r="M19" s="526">
        <v>0.13333333333333333</v>
      </c>
      <c r="N19" s="526">
        <v>8.3333333333333329E-2</v>
      </c>
      <c r="O19" s="526">
        <v>8.3333333333333329E-2</v>
      </c>
      <c r="P19" s="526">
        <v>8.3333333333333329E-2</v>
      </c>
      <c r="Q19" s="526">
        <v>3.3333333333333333E-2</v>
      </c>
      <c r="R19" s="208">
        <f t="shared" si="0"/>
        <v>2.0499999999999998</v>
      </c>
    </row>
    <row r="20" spans="1:18" ht="15.75" thickBot="1" x14ac:dyDescent="0.3">
      <c r="A20" s="479" t="s">
        <v>190</v>
      </c>
      <c r="B20" s="483" t="s">
        <v>424</v>
      </c>
      <c r="C20" s="526">
        <v>0.16666666666666666</v>
      </c>
      <c r="D20" s="526">
        <v>0.3833333333333333</v>
      </c>
      <c r="E20" s="526">
        <v>0.23333333333333334</v>
      </c>
      <c r="F20" s="526">
        <v>8.3333333333333329E-2</v>
      </c>
      <c r="G20" s="526">
        <v>0.1</v>
      </c>
      <c r="H20" s="526">
        <v>6.6666666666666666E-2</v>
      </c>
      <c r="I20" s="526">
        <v>8.3333333333333329E-2</v>
      </c>
      <c r="J20" s="526">
        <v>0.05</v>
      </c>
      <c r="K20" s="526">
        <v>8.3333333333333329E-2</v>
      </c>
      <c r="L20" s="526">
        <v>0.36666666666666664</v>
      </c>
      <c r="M20" s="526">
        <v>0.16666666666666666</v>
      </c>
      <c r="N20" s="526">
        <v>8.3333333333333329E-2</v>
      </c>
      <c r="O20" s="526">
        <v>8.3333333333333329E-2</v>
      </c>
      <c r="P20" s="526">
        <v>8.3333333333333329E-2</v>
      </c>
      <c r="Q20" s="526">
        <v>4.1666666666666664E-2</v>
      </c>
      <c r="R20" s="208">
        <f t="shared" si="0"/>
        <v>2.0749999999999997</v>
      </c>
    </row>
    <row r="21" spans="1:18" ht="15.75" thickBot="1" x14ac:dyDescent="0.3">
      <c r="A21" s="479" t="s">
        <v>191</v>
      </c>
      <c r="B21" s="483" t="s">
        <v>425</v>
      </c>
      <c r="C21" s="526">
        <v>0.16666666666666666</v>
      </c>
      <c r="D21" s="526">
        <v>0.31666666666666665</v>
      </c>
      <c r="E21" s="526">
        <v>0.13333333333333333</v>
      </c>
      <c r="F21" s="526">
        <v>6.6666666666666666E-2</v>
      </c>
      <c r="G21" s="526">
        <v>8.3333333333333329E-2</v>
      </c>
      <c r="H21" s="526">
        <v>0.05</v>
      </c>
      <c r="I21" s="526">
        <v>8.3333333333333329E-2</v>
      </c>
      <c r="J21" s="526">
        <v>6.6666666666666666E-2</v>
      </c>
      <c r="K21" s="526">
        <v>8.3333333333333329E-2</v>
      </c>
      <c r="L21" s="526">
        <v>0.33333333333333331</v>
      </c>
      <c r="M21" s="526">
        <v>0.2</v>
      </c>
      <c r="N21" s="526">
        <v>0.1</v>
      </c>
      <c r="O21" s="526">
        <v>0.1</v>
      </c>
      <c r="P21" s="526">
        <v>8.3333333333333329E-2</v>
      </c>
      <c r="Q21" s="526">
        <v>4.1666666666666664E-2</v>
      </c>
      <c r="R21" s="208">
        <f t="shared" si="0"/>
        <v>1.9083333333333334</v>
      </c>
    </row>
    <row r="22" spans="1:18" ht="15.75" thickBot="1" x14ac:dyDescent="0.3">
      <c r="A22" s="479" t="s">
        <v>192</v>
      </c>
      <c r="B22" s="483" t="s">
        <v>426</v>
      </c>
      <c r="C22" s="526">
        <v>0.15</v>
      </c>
      <c r="D22" s="526">
        <v>0.35</v>
      </c>
      <c r="E22" s="526">
        <v>0.16666666666666666</v>
      </c>
      <c r="F22" s="526">
        <v>8.3333333333333329E-2</v>
      </c>
      <c r="G22" s="526">
        <v>8.3333333333333329E-2</v>
      </c>
      <c r="H22" s="526">
        <v>8.3333333333333329E-2</v>
      </c>
      <c r="I22" s="526">
        <v>0.05</v>
      </c>
      <c r="J22" s="526">
        <v>8.3333333333333329E-2</v>
      </c>
      <c r="K22" s="526">
        <v>6.6666666666666666E-2</v>
      </c>
      <c r="L22" s="526">
        <v>0.3</v>
      </c>
      <c r="M22" s="526">
        <v>0.16666666666666666</v>
      </c>
      <c r="N22" s="526">
        <v>0.11666666666666667</v>
      </c>
      <c r="O22" s="526">
        <v>8.3333333333333329E-2</v>
      </c>
      <c r="P22" s="526">
        <v>8.3333333333333329E-2</v>
      </c>
      <c r="Q22" s="526">
        <v>3.3333333333333333E-2</v>
      </c>
      <c r="R22" s="208">
        <f t="shared" si="0"/>
        <v>1.9000000000000001</v>
      </c>
    </row>
    <row r="23" spans="1:18" ht="15.75" thickBot="1" x14ac:dyDescent="0.3">
      <c r="A23" s="479" t="s">
        <v>193</v>
      </c>
      <c r="B23" s="483" t="s">
        <v>427</v>
      </c>
      <c r="C23" s="526">
        <v>0.2</v>
      </c>
      <c r="D23" s="526">
        <v>0.31666666666666665</v>
      </c>
      <c r="E23" s="526">
        <v>0.13333333333333333</v>
      </c>
      <c r="F23" s="526">
        <v>8.3333333333333329E-2</v>
      </c>
      <c r="G23" s="526">
        <v>0.05</v>
      </c>
      <c r="H23" s="526">
        <v>8.3333333333333329E-2</v>
      </c>
      <c r="I23" s="526">
        <v>8.3333333333333329E-2</v>
      </c>
      <c r="J23" s="526">
        <v>8.3333333333333329E-2</v>
      </c>
      <c r="K23" s="526">
        <v>8.3333333333333329E-2</v>
      </c>
      <c r="L23" s="526">
        <v>0.36666666666666664</v>
      </c>
      <c r="M23" s="526">
        <v>0.2</v>
      </c>
      <c r="N23" s="526">
        <v>8.3333333333333329E-2</v>
      </c>
      <c r="O23" s="526">
        <v>8.3333333333333329E-2</v>
      </c>
      <c r="P23" s="526">
        <v>0.11666666666666667</v>
      </c>
      <c r="Q23" s="526">
        <v>4.1666666666666664E-2</v>
      </c>
      <c r="R23" s="208">
        <f t="shared" si="0"/>
        <v>2.0083333333333333</v>
      </c>
    </row>
    <row r="24" spans="1:18" ht="15.75" thickBot="1" x14ac:dyDescent="0.3">
      <c r="A24" s="479" t="s">
        <v>194</v>
      </c>
      <c r="B24" s="483" t="s">
        <v>428</v>
      </c>
      <c r="C24" s="526">
        <v>0.13333333333333333</v>
      </c>
      <c r="D24" s="526">
        <v>0.3833333333333333</v>
      </c>
      <c r="E24" s="526">
        <v>0.13333333333333333</v>
      </c>
      <c r="F24" s="526">
        <v>8.3333333333333329E-2</v>
      </c>
      <c r="G24" s="526">
        <v>8.3333333333333329E-2</v>
      </c>
      <c r="H24" s="526">
        <v>8.3333333333333329E-2</v>
      </c>
      <c r="I24" s="526">
        <v>0.05</v>
      </c>
      <c r="J24" s="526">
        <v>8.3333333333333329E-2</v>
      </c>
      <c r="K24" s="526">
        <v>6.6666666666666666E-2</v>
      </c>
      <c r="L24" s="526">
        <v>0.33333333333333331</v>
      </c>
      <c r="M24" s="526">
        <v>0.21666666666666667</v>
      </c>
      <c r="N24" s="526">
        <v>0.1</v>
      </c>
      <c r="O24" s="526">
        <v>8.3333333333333329E-2</v>
      </c>
      <c r="P24" s="526">
        <v>8.3333333333333329E-2</v>
      </c>
      <c r="Q24" s="526">
        <v>4.1666666666666664E-2</v>
      </c>
      <c r="R24" s="208">
        <f t="shared" si="0"/>
        <v>1.9583333333333333</v>
      </c>
    </row>
    <row r="25" spans="1:18" ht="15.75" thickBot="1" x14ac:dyDescent="0.3">
      <c r="A25" s="479" t="s">
        <v>195</v>
      </c>
      <c r="B25" s="483" t="s">
        <v>429</v>
      </c>
      <c r="C25" s="526">
        <v>0.15</v>
      </c>
      <c r="D25" s="526">
        <v>0.3833333333333333</v>
      </c>
      <c r="E25" s="526">
        <v>0.16666666666666666</v>
      </c>
      <c r="F25" s="526">
        <v>8.3333333333333329E-2</v>
      </c>
      <c r="G25" s="526">
        <v>8.3333333333333329E-2</v>
      </c>
      <c r="H25" s="526">
        <v>8.3333333333333329E-2</v>
      </c>
      <c r="I25" s="526">
        <v>8.3333333333333329E-2</v>
      </c>
      <c r="J25" s="526">
        <v>0.05</v>
      </c>
      <c r="K25" s="526">
        <v>0.1</v>
      </c>
      <c r="L25" s="526">
        <v>0.33333333333333331</v>
      </c>
      <c r="M25" s="526">
        <v>0.21666666666666667</v>
      </c>
      <c r="N25" s="526">
        <v>6.6666666666666666E-2</v>
      </c>
      <c r="O25" s="526">
        <v>0.11666666666666667</v>
      </c>
      <c r="P25" s="526">
        <v>0.05</v>
      </c>
      <c r="Q25" s="526">
        <v>0.05</v>
      </c>
      <c r="R25" s="208">
        <f t="shared" si="0"/>
        <v>2.0166666666666666</v>
      </c>
    </row>
    <row r="26" spans="1:18" ht="15.75" thickBot="1" x14ac:dyDescent="0.3">
      <c r="A26" s="479" t="s">
        <v>196</v>
      </c>
      <c r="B26" s="483" t="s">
        <v>430</v>
      </c>
      <c r="C26" s="526">
        <v>0.15</v>
      </c>
      <c r="D26" s="526">
        <v>0.33333333333333331</v>
      </c>
      <c r="E26" s="526">
        <v>0.16666666666666666</v>
      </c>
      <c r="F26" s="526">
        <v>0.11666666666666667</v>
      </c>
      <c r="G26" s="526">
        <v>8.3333333333333329E-2</v>
      </c>
      <c r="H26" s="526">
        <v>0.1</v>
      </c>
      <c r="I26" s="526">
        <v>8.3333333333333329E-2</v>
      </c>
      <c r="J26" s="526">
        <v>0.1</v>
      </c>
      <c r="K26" s="526">
        <v>8.3333333333333329E-2</v>
      </c>
      <c r="L26" s="526">
        <v>0.3</v>
      </c>
      <c r="M26" s="526">
        <v>0.16666666666666666</v>
      </c>
      <c r="N26" s="526">
        <v>0.1</v>
      </c>
      <c r="O26" s="526">
        <v>8.3333333333333329E-2</v>
      </c>
      <c r="P26" s="526">
        <v>0.05</v>
      </c>
      <c r="Q26" s="526">
        <v>4.1666666666666664E-2</v>
      </c>
      <c r="R26" s="208">
        <f t="shared" si="0"/>
        <v>1.9583333333333335</v>
      </c>
    </row>
    <row r="27" spans="1:18" ht="15.75" thickBot="1" x14ac:dyDescent="0.3">
      <c r="A27" s="479" t="s">
        <v>197</v>
      </c>
      <c r="B27" s="483" t="s">
        <v>431</v>
      </c>
      <c r="C27" s="526">
        <v>0.15</v>
      </c>
      <c r="D27" s="526">
        <v>0.35</v>
      </c>
      <c r="E27" s="526">
        <v>0.16666666666666666</v>
      </c>
      <c r="F27" s="526">
        <v>0.05</v>
      </c>
      <c r="G27" s="526">
        <v>8.3333333333333329E-2</v>
      </c>
      <c r="H27" s="526">
        <v>8.3333333333333329E-2</v>
      </c>
      <c r="I27" s="526">
        <v>8.3333333333333329E-2</v>
      </c>
      <c r="J27" s="526">
        <v>0.1</v>
      </c>
      <c r="K27" s="526">
        <v>0.1</v>
      </c>
      <c r="L27" s="526">
        <v>0.33333333333333331</v>
      </c>
      <c r="M27" s="526">
        <v>0.16666666666666666</v>
      </c>
      <c r="N27" s="526">
        <v>8.3333333333333329E-2</v>
      </c>
      <c r="O27" s="526">
        <v>0.05</v>
      </c>
      <c r="P27" s="526">
        <v>8.3333333333333329E-2</v>
      </c>
      <c r="Q27" s="526">
        <v>0.05</v>
      </c>
      <c r="R27" s="208">
        <f t="shared" si="0"/>
        <v>1.9333333333333336</v>
      </c>
    </row>
    <row r="28" spans="1:18" ht="15.75" thickBot="1" x14ac:dyDescent="0.3">
      <c r="A28" s="479" t="s">
        <v>198</v>
      </c>
      <c r="B28" s="483" t="s">
        <v>432</v>
      </c>
      <c r="C28" s="526">
        <v>0.16666666666666666</v>
      </c>
      <c r="D28" s="526">
        <v>0.21666666666666667</v>
      </c>
      <c r="E28" s="526">
        <v>0.21666666666666667</v>
      </c>
      <c r="F28" s="526">
        <v>6.6666666666666666E-2</v>
      </c>
      <c r="G28" s="526">
        <v>8.3333333333333329E-2</v>
      </c>
      <c r="H28" s="526">
        <v>8.3333333333333329E-2</v>
      </c>
      <c r="I28" s="526">
        <v>8.3333333333333329E-2</v>
      </c>
      <c r="J28" s="526">
        <v>8.3333333333333329E-2</v>
      </c>
      <c r="K28" s="526">
        <v>6.6666666666666666E-2</v>
      </c>
      <c r="L28" s="526">
        <v>0.36666666666666664</v>
      </c>
      <c r="M28" s="526">
        <v>0.21666666666666667</v>
      </c>
      <c r="N28" s="526">
        <v>8.3333333333333329E-2</v>
      </c>
      <c r="O28" s="526">
        <v>0.1</v>
      </c>
      <c r="P28" s="526">
        <v>8.3333333333333329E-2</v>
      </c>
      <c r="Q28" s="526">
        <v>3.3333333333333333E-2</v>
      </c>
      <c r="R28" s="208">
        <f t="shared" si="0"/>
        <v>1.95</v>
      </c>
    </row>
    <row r="29" spans="1:18" ht="15.75" thickBot="1" x14ac:dyDescent="0.3">
      <c r="A29" s="479" t="s">
        <v>199</v>
      </c>
      <c r="B29" s="483" t="s">
        <v>433</v>
      </c>
      <c r="C29" s="526">
        <v>0.15</v>
      </c>
      <c r="D29" s="526">
        <v>0.35</v>
      </c>
      <c r="E29" s="526">
        <v>0.21666666666666667</v>
      </c>
      <c r="F29" s="526">
        <v>8.3333333333333329E-2</v>
      </c>
      <c r="G29" s="526">
        <v>8.3333333333333329E-2</v>
      </c>
      <c r="H29" s="526">
        <v>0.1</v>
      </c>
      <c r="I29" s="526">
        <v>0.1</v>
      </c>
      <c r="J29" s="526">
        <v>0.05</v>
      </c>
      <c r="K29" s="526">
        <v>0.05</v>
      </c>
      <c r="L29" s="526">
        <v>0.33333333333333331</v>
      </c>
      <c r="M29" s="526">
        <v>0.16666666666666666</v>
      </c>
      <c r="N29" s="526">
        <v>0.1</v>
      </c>
      <c r="O29" s="526">
        <v>8.3333333333333329E-2</v>
      </c>
      <c r="P29" s="526">
        <v>0.11666666666666667</v>
      </c>
      <c r="Q29" s="526">
        <v>4.1666666666666664E-2</v>
      </c>
      <c r="R29" s="208">
        <f t="shared" si="0"/>
        <v>2.0250000000000004</v>
      </c>
    </row>
    <row r="30" spans="1:18" ht="15.75" thickBot="1" x14ac:dyDescent="0.3">
      <c r="A30" s="479" t="s">
        <v>200</v>
      </c>
      <c r="B30" s="483" t="s">
        <v>434</v>
      </c>
      <c r="C30" s="526">
        <v>0.16666666666666666</v>
      </c>
      <c r="D30" s="526">
        <v>0.21666666666666667</v>
      </c>
      <c r="E30" s="526">
        <v>0.21666666666666667</v>
      </c>
      <c r="F30" s="526">
        <v>0.11666666666666667</v>
      </c>
      <c r="G30" s="526">
        <v>0.05</v>
      </c>
      <c r="H30" s="526">
        <v>0.05</v>
      </c>
      <c r="I30" s="526">
        <v>0.05</v>
      </c>
      <c r="J30" s="526">
        <v>6.6666666666666666E-2</v>
      </c>
      <c r="K30" s="526">
        <v>0.11666666666666667</v>
      </c>
      <c r="L30" s="526">
        <v>0.33333333333333331</v>
      </c>
      <c r="M30" s="526">
        <v>0.16666666666666666</v>
      </c>
      <c r="N30" s="526">
        <v>6.6666666666666666E-2</v>
      </c>
      <c r="O30" s="526">
        <v>0.1</v>
      </c>
      <c r="P30" s="526">
        <v>8.3333333333333329E-2</v>
      </c>
      <c r="Q30" s="526">
        <v>4.1666666666666664E-2</v>
      </c>
      <c r="R30" s="208">
        <f t="shared" si="0"/>
        <v>1.8416666666666668</v>
      </c>
    </row>
    <row r="31" spans="1:18" ht="15.75" thickBot="1" x14ac:dyDescent="0.3">
      <c r="A31" s="479" t="s">
        <v>201</v>
      </c>
      <c r="B31" s="483" t="s">
        <v>435</v>
      </c>
      <c r="C31" s="526">
        <v>0.15</v>
      </c>
      <c r="D31" s="526">
        <v>0.35</v>
      </c>
      <c r="E31" s="526">
        <v>0.16666666666666666</v>
      </c>
      <c r="F31" s="526">
        <v>6.6666666666666666E-2</v>
      </c>
      <c r="G31" s="526">
        <v>0.05</v>
      </c>
      <c r="H31" s="526">
        <v>8.3333333333333329E-2</v>
      </c>
      <c r="I31" s="526">
        <v>8.3333333333333329E-2</v>
      </c>
      <c r="J31" s="526">
        <v>0.1</v>
      </c>
      <c r="K31" s="526">
        <v>8.3333333333333329E-2</v>
      </c>
      <c r="L31" s="526">
        <v>0.36666666666666664</v>
      </c>
      <c r="M31" s="526">
        <v>0.23333333333333334</v>
      </c>
      <c r="N31" s="526">
        <v>0.05</v>
      </c>
      <c r="O31" s="526">
        <v>0.1</v>
      </c>
      <c r="P31" s="526">
        <v>8.3333333333333329E-2</v>
      </c>
      <c r="Q31" s="526">
        <v>3.3333333333333333E-2</v>
      </c>
      <c r="R31" s="208">
        <f t="shared" si="0"/>
        <v>2</v>
      </c>
    </row>
    <row r="32" spans="1:18" ht="15.75" thickBot="1" x14ac:dyDescent="0.3">
      <c r="A32" s="479" t="s">
        <v>202</v>
      </c>
      <c r="B32" s="483" t="s">
        <v>436</v>
      </c>
      <c r="C32" s="526">
        <v>0.15</v>
      </c>
      <c r="D32" s="526">
        <v>0.31666666666666665</v>
      </c>
      <c r="E32" s="526">
        <v>0.16666666666666666</v>
      </c>
      <c r="F32" s="526">
        <v>8.3333333333333329E-2</v>
      </c>
      <c r="G32" s="526">
        <v>8.3333333333333329E-2</v>
      </c>
      <c r="H32" s="526">
        <v>0.1</v>
      </c>
      <c r="I32" s="526">
        <v>0.1</v>
      </c>
      <c r="J32" s="526">
        <v>0.05</v>
      </c>
      <c r="K32" s="526">
        <v>0.1</v>
      </c>
      <c r="L32" s="526">
        <v>0.3</v>
      </c>
      <c r="M32" s="526">
        <v>0.2</v>
      </c>
      <c r="N32" s="526">
        <v>6.6666666666666666E-2</v>
      </c>
      <c r="O32" s="526">
        <v>8.3333333333333329E-2</v>
      </c>
      <c r="P32" s="526">
        <v>0.11666666666666667</v>
      </c>
      <c r="Q32" s="526">
        <v>4.1666666666666664E-2</v>
      </c>
      <c r="R32" s="208">
        <f t="shared" si="0"/>
        <v>1.9583333333333335</v>
      </c>
    </row>
    <row r="33" spans="1:19" ht="15.75" thickBot="1" x14ac:dyDescent="0.3">
      <c r="A33" s="479" t="s">
        <v>203</v>
      </c>
      <c r="B33" s="483" t="s">
        <v>437</v>
      </c>
      <c r="C33" s="526">
        <v>0.13333333333333333</v>
      </c>
      <c r="D33" s="526">
        <v>0.31666666666666665</v>
      </c>
      <c r="E33" s="526">
        <v>0.13333333333333333</v>
      </c>
      <c r="F33" s="526">
        <v>8.3333333333333329E-2</v>
      </c>
      <c r="G33" s="526">
        <v>0.05</v>
      </c>
      <c r="H33" s="526">
        <v>6.6666666666666666E-2</v>
      </c>
      <c r="I33" s="526">
        <v>0.1</v>
      </c>
      <c r="J33" s="526">
        <v>8.3333333333333329E-2</v>
      </c>
      <c r="K33" s="526">
        <v>0.11666666666666667</v>
      </c>
      <c r="L33" s="526">
        <v>0.28333333333333333</v>
      </c>
      <c r="M33" s="526">
        <v>0.21666666666666667</v>
      </c>
      <c r="N33" s="526">
        <v>0.11666666666666667</v>
      </c>
      <c r="O33" s="526">
        <v>0.05</v>
      </c>
      <c r="P33" s="526">
        <v>8.3333333333333329E-2</v>
      </c>
      <c r="Q33" s="526">
        <v>4.1666666666666664E-2</v>
      </c>
      <c r="R33" s="208">
        <f t="shared" si="0"/>
        <v>1.8750000000000002</v>
      </c>
    </row>
    <row r="34" spans="1:19" ht="15.75" thickBot="1" x14ac:dyDescent="0.3">
      <c r="A34" s="479" t="s">
        <v>204</v>
      </c>
      <c r="B34" s="483" t="s">
        <v>438</v>
      </c>
      <c r="C34" s="526">
        <v>0.16666666666666666</v>
      </c>
      <c r="D34" s="526">
        <v>0.33333333333333331</v>
      </c>
      <c r="E34" s="526">
        <v>0.16666666666666666</v>
      </c>
      <c r="F34" s="526">
        <v>0.11666666666666667</v>
      </c>
      <c r="G34" s="526">
        <v>0.1</v>
      </c>
      <c r="H34" s="526">
        <v>8.3333333333333329E-2</v>
      </c>
      <c r="I34" s="526">
        <v>8.3333333333333329E-2</v>
      </c>
      <c r="J34" s="526">
        <v>0.1</v>
      </c>
      <c r="K34" s="526">
        <v>0.05</v>
      </c>
      <c r="L34" s="526">
        <v>0.3</v>
      </c>
      <c r="M34" s="526">
        <v>0.21666666666666667</v>
      </c>
      <c r="N34" s="526">
        <v>0.05</v>
      </c>
      <c r="O34" s="526">
        <v>0.11666666666666667</v>
      </c>
      <c r="P34" s="526">
        <v>0.05</v>
      </c>
      <c r="Q34" s="526">
        <v>0.05</v>
      </c>
      <c r="R34" s="208">
        <f t="shared" si="0"/>
        <v>1.9833333333333336</v>
      </c>
    </row>
    <row r="35" spans="1:19" x14ac:dyDescent="0.25">
      <c r="B35" s="486"/>
      <c r="C35" s="487">
        <f t="shared" ref="C35:R35" si="1">AVERAGE(C5:C34)</f>
        <v>0.16555555555555559</v>
      </c>
      <c r="D35" s="487">
        <f t="shared" si="1"/>
        <v>0.33333333333333315</v>
      </c>
      <c r="E35" s="487">
        <f t="shared" si="1"/>
        <v>0.17500000000000002</v>
      </c>
      <c r="F35" s="487">
        <f t="shared" si="1"/>
        <v>8.3333333333333343E-2</v>
      </c>
      <c r="G35" s="487">
        <f t="shared" si="1"/>
        <v>7.6666666666666661E-2</v>
      </c>
      <c r="H35" s="487">
        <f t="shared" si="1"/>
        <v>8.0555555555555561E-2</v>
      </c>
      <c r="I35" s="487">
        <f t="shared" si="1"/>
        <v>8.0000000000000016E-2</v>
      </c>
      <c r="J35" s="487">
        <f t="shared" si="1"/>
        <v>7.5555555555555556E-2</v>
      </c>
      <c r="K35" s="487">
        <f t="shared" si="1"/>
        <v>8.3333333333333315E-2</v>
      </c>
      <c r="L35" s="487">
        <f t="shared" si="1"/>
        <v>0.33277777777777773</v>
      </c>
      <c r="M35" s="487">
        <f t="shared" si="1"/>
        <v>0.17722222222222225</v>
      </c>
      <c r="N35" s="487">
        <f t="shared" si="1"/>
        <v>8.4444444444444461E-2</v>
      </c>
      <c r="O35" s="487">
        <f t="shared" si="1"/>
        <v>8.5000000000000006E-2</v>
      </c>
      <c r="P35" s="487">
        <f t="shared" si="1"/>
        <v>8.4444444444444447E-2</v>
      </c>
      <c r="Q35" s="487">
        <f t="shared" si="1"/>
        <v>4.1388888888888899E-2</v>
      </c>
      <c r="R35" s="488">
        <f t="shared" si="1"/>
        <v>1.9586111111111113</v>
      </c>
      <c r="S35" t="s">
        <v>317</v>
      </c>
    </row>
    <row r="36" spans="1:19" x14ac:dyDescent="0.25">
      <c r="A36" s="475"/>
      <c r="C36" s="489">
        <v>0</v>
      </c>
      <c r="D36" s="489">
        <v>0</v>
      </c>
      <c r="E36" s="489">
        <v>0</v>
      </c>
      <c r="F36" s="489">
        <v>0</v>
      </c>
      <c r="G36" s="489">
        <v>0</v>
      </c>
      <c r="H36" s="489">
        <v>0</v>
      </c>
      <c r="I36" s="489">
        <v>0</v>
      </c>
      <c r="J36" s="489">
        <v>0</v>
      </c>
      <c r="K36" s="489">
        <v>0</v>
      </c>
      <c r="L36" s="489">
        <v>0</v>
      </c>
      <c r="M36" s="489">
        <v>0</v>
      </c>
      <c r="N36" s="489">
        <v>0</v>
      </c>
      <c r="O36" s="489">
        <v>0</v>
      </c>
      <c r="P36" s="489">
        <v>0</v>
      </c>
      <c r="Q36" s="489">
        <v>0</v>
      </c>
      <c r="R36" s="489">
        <f>SUM(C36:I36)</f>
        <v>0</v>
      </c>
      <c r="S36" t="s">
        <v>316</v>
      </c>
    </row>
    <row r="37" spans="1:19" ht="15.75" x14ac:dyDescent="0.25">
      <c r="A37" s="527" t="s">
        <v>439</v>
      </c>
      <c r="B37" s="528" t="s">
        <v>315</v>
      </c>
      <c r="C37" s="480"/>
      <c r="D37" s="480"/>
      <c r="E37" s="480"/>
      <c r="F37" s="480"/>
      <c r="G37" s="480"/>
      <c r="H37" s="480"/>
      <c r="I37" s="480"/>
      <c r="J37" s="480"/>
      <c r="K37" s="480"/>
      <c r="L37" s="480"/>
      <c r="M37" s="480"/>
      <c r="N37" s="480"/>
      <c r="O37" s="480"/>
      <c r="P37" s="480"/>
      <c r="Q37" s="480"/>
    </row>
    <row r="38" spans="1:19" ht="15.75" x14ac:dyDescent="0.25">
      <c r="A38" s="529">
        <v>1</v>
      </c>
      <c r="B38" s="73" t="s">
        <v>440</v>
      </c>
      <c r="C38" s="480"/>
      <c r="D38" s="480"/>
      <c r="E38" s="480"/>
      <c r="F38" s="480"/>
      <c r="G38" s="480"/>
      <c r="H38" s="480"/>
      <c r="I38" s="480"/>
      <c r="J38" s="480"/>
      <c r="K38" s="480"/>
      <c r="L38" s="480"/>
      <c r="M38" s="480"/>
      <c r="N38" s="480"/>
      <c r="O38" s="480"/>
      <c r="P38" s="480"/>
      <c r="Q38" s="480"/>
    </row>
    <row r="39" spans="1:19" ht="15.75" x14ac:dyDescent="0.25">
      <c r="A39" s="529">
        <v>2</v>
      </c>
      <c r="B39" s="73" t="s">
        <v>441</v>
      </c>
      <c r="C39" s="480"/>
      <c r="E39" s="475"/>
      <c r="F39" s="480"/>
      <c r="G39" s="480"/>
      <c r="H39" s="480"/>
      <c r="I39" s="480"/>
      <c r="J39" s="480"/>
      <c r="K39" s="480"/>
      <c r="L39" s="480"/>
      <c r="M39" s="480"/>
      <c r="N39" s="480"/>
      <c r="O39" s="480"/>
      <c r="P39" s="480"/>
      <c r="Q39" s="480"/>
    </row>
    <row r="40" spans="1:19" ht="30" x14ac:dyDescent="0.25">
      <c r="A40" s="529">
        <v>3</v>
      </c>
      <c r="B40" s="73" t="s">
        <v>442</v>
      </c>
      <c r="C40" s="475"/>
      <c r="F40" s="475"/>
      <c r="G40" s="475"/>
      <c r="H40" s="475"/>
      <c r="I40" s="475"/>
      <c r="J40" s="475"/>
      <c r="K40" s="475"/>
      <c r="L40" s="475"/>
      <c r="M40" s="475"/>
      <c r="N40" s="475"/>
      <c r="O40" s="475"/>
      <c r="P40" s="475"/>
      <c r="Q40" s="475"/>
    </row>
    <row r="41" spans="1:19" x14ac:dyDescent="0.25">
      <c r="A41" s="529">
        <v>4</v>
      </c>
      <c r="B41" s="73" t="s">
        <v>443</v>
      </c>
      <c r="C41" s="475"/>
      <c r="D41" s="530"/>
      <c r="E41" s="475"/>
      <c r="F41" s="475"/>
      <c r="G41" s="475"/>
      <c r="H41" s="475"/>
      <c r="I41" s="475"/>
      <c r="J41" s="475"/>
      <c r="K41" s="475"/>
      <c r="L41" s="475"/>
      <c r="M41" s="475"/>
      <c r="N41" s="475"/>
      <c r="O41" s="475"/>
      <c r="P41" s="475"/>
      <c r="Q41" s="475"/>
    </row>
    <row r="42" spans="1:19" ht="30" x14ac:dyDescent="0.25">
      <c r="A42" s="529">
        <v>5</v>
      </c>
      <c r="B42" s="73" t="s">
        <v>444</v>
      </c>
      <c r="C42" s="475"/>
      <c r="D42" s="530"/>
      <c r="E42" s="475"/>
      <c r="F42" s="475"/>
      <c r="G42" s="475"/>
      <c r="H42" s="475"/>
      <c r="I42" s="475"/>
      <c r="J42" s="475"/>
      <c r="K42" s="475"/>
      <c r="L42" s="475"/>
      <c r="M42" s="475"/>
      <c r="N42" s="475"/>
      <c r="O42" s="475"/>
      <c r="P42" s="475"/>
      <c r="Q42" s="475"/>
    </row>
    <row r="43" spans="1:19" ht="30" x14ac:dyDescent="0.25">
      <c r="A43" s="529">
        <v>6</v>
      </c>
      <c r="B43" s="73" t="s">
        <v>445</v>
      </c>
      <c r="C43" s="475"/>
      <c r="D43" s="530"/>
      <c r="E43" s="475"/>
      <c r="F43" s="475"/>
      <c r="G43" s="475"/>
      <c r="H43" s="475"/>
      <c r="I43" s="475"/>
      <c r="J43" s="475"/>
      <c r="K43" s="475"/>
      <c r="L43" s="475"/>
      <c r="M43" s="475"/>
      <c r="N43" s="475"/>
      <c r="O43" s="475"/>
      <c r="P43" s="475"/>
      <c r="Q43" s="475"/>
    </row>
    <row r="44" spans="1:19" ht="30" x14ac:dyDescent="0.25">
      <c r="A44" s="529">
        <v>7</v>
      </c>
      <c r="B44" s="531" t="s">
        <v>446</v>
      </c>
      <c r="C44" s="475"/>
      <c r="D44" s="532"/>
      <c r="F44" s="475"/>
      <c r="G44" s="475"/>
      <c r="H44" s="475"/>
      <c r="I44" s="475"/>
      <c r="J44" s="475"/>
      <c r="K44" s="475"/>
      <c r="L44" s="475"/>
      <c r="M44" s="475"/>
      <c r="N44" s="475"/>
      <c r="O44" s="475"/>
      <c r="P44" s="475"/>
      <c r="Q44" s="475"/>
    </row>
    <row r="45" spans="1:19" x14ac:dyDescent="0.25">
      <c r="A45" s="529">
        <v>8</v>
      </c>
      <c r="B45" s="73" t="s">
        <v>447</v>
      </c>
      <c r="D45" s="532"/>
      <c r="E45" s="475"/>
    </row>
    <row r="46" spans="1:19" x14ac:dyDescent="0.25">
      <c r="A46" s="529">
        <v>9</v>
      </c>
      <c r="B46" s="73" t="s">
        <v>448</v>
      </c>
      <c r="D46" s="530"/>
      <c r="E46" s="475"/>
    </row>
    <row r="47" spans="1:19" ht="45" x14ac:dyDescent="0.25">
      <c r="A47" s="529">
        <v>10</v>
      </c>
      <c r="B47" s="73" t="s">
        <v>449</v>
      </c>
      <c r="D47" s="532"/>
    </row>
    <row r="48" spans="1:19" ht="30" x14ac:dyDescent="0.25">
      <c r="A48" s="529">
        <v>11</v>
      </c>
      <c r="B48" s="73" t="s">
        <v>450</v>
      </c>
      <c r="D48" s="532"/>
    </row>
    <row r="49" spans="1:4" x14ac:dyDescent="0.25">
      <c r="A49" s="529">
        <v>12</v>
      </c>
      <c r="B49" s="73" t="s">
        <v>451</v>
      </c>
      <c r="D49" s="532"/>
    </row>
    <row r="50" spans="1:4" ht="30" x14ac:dyDescent="0.25">
      <c r="A50" s="529">
        <v>13</v>
      </c>
      <c r="B50" s="73" t="s">
        <v>452</v>
      </c>
      <c r="D50" s="532"/>
    </row>
    <row r="51" spans="1:4" ht="30" x14ac:dyDescent="0.25">
      <c r="A51" s="529">
        <v>14</v>
      </c>
      <c r="B51" s="73" t="s">
        <v>450</v>
      </c>
      <c r="D51" s="532"/>
    </row>
    <row r="52" spans="1:4" x14ac:dyDescent="0.25">
      <c r="A52" s="533">
        <v>15</v>
      </c>
      <c r="B52" s="73" t="s">
        <v>451</v>
      </c>
      <c r="D52" s="532"/>
    </row>
    <row r="53" spans="1:4" x14ac:dyDescent="0.25">
      <c r="D53" s="532"/>
    </row>
    <row r="54" spans="1:4" x14ac:dyDescent="0.25">
      <c r="D54" s="532"/>
    </row>
    <row r="55" spans="1:4" x14ac:dyDescent="0.25">
      <c r="D55" s="532"/>
    </row>
    <row r="56" spans="1:4" x14ac:dyDescent="0.25">
      <c r="D56" s="532"/>
    </row>
    <row r="57" spans="1:4" x14ac:dyDescent="0.25">
      <c r="D57" s="532"/>
    </row>
    <row r="58" spans="1:4" x14ac:dyDescent="0.25">
      <c r="D58" s="532"/>
    </row>
    <row r="59" spans="1:4" x14ac:dyDescent="0.25">
      <c r="D59" s="532"/>
    </row>
    <row r="60" spans="1:4" x14ac:dyDescent="0.25">
      <c r="D60" s="532"/>
    </row>
    <row r="61" spans="1:4" x14ac:dyDescent="0.25">
      <c r="D61" s="532"/>
    </row>
    <row r="62" spans="1:4" x14ac:dyDescent="0.25">
      <c r="D62" s="532"/>
    </row>
    <row r="63" spans="1:4" x14ac:dyDescent="0.25">
      <c r="D63" s="532"/>
    </row>
    <row r="64" spans="1:4" x14ac:dyDescent="0.25">
      <c r="D64" s="532"/>
    </row>
  </sheetData>
  <mergeCells count="2">
    <mergeCell ref="C1:I1"/>
    <mergeCell ref="J1:Q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0"/>
  <sheetViews>
    <sheetView workbookViewId="0">
      <selection activeCell="A13" sqref="A13"/>
    </sheetView>
  </sheetViews>
  <sheetFormatPr defaultColWidth="8.85546875" defaultRowHeight="15" x14ac:dyDescent="0.25"/>
  <cols>
    <col min="1" max="1" width="25.42578125" customWidth="1"/>
    <col min="2" max="2" width="79" bestFit="1" customWidth="1"/>
    <col min="3" max="3" width="70" bestFit="1" customWidth="1"/>
  </cols>
  <sheetData>
    <row r="1" spans="1:3" ht="19.5" thickBot="1" x14ac:dyDescent="0.35">
      <c r="A1" s="413" t="s">
        <v>205</v>
      </c>
    </row>
    <row r="2" spans="1:3" ht="15.75" thickBot="1" x14ac:dyDescent="0.3">
      <c r="A2" s="414" t="s">
        <v>223</v>
      </c>
      <c r="B2" s="415" t="s">
        <v>224</v>
      </c>
      <c r="C2" s="416" t="s">
        <v>229</v>
      </c>
    </row>
    <row r="3" spans="1:3" x14ac:dyDescent="0.25">
      <c r="A3" s="428" t="s">
        <v>206</v>
      </c>
      <c r="B3" s="424" t="s">
        <v>226</v>
      </c>
      <c r="C3" s="284" t="s">
        <v>225</v>
      </c>
    </row>
    <row r="4" spans="1:3" x14ac:dyDescent="0.25">
      <c r="A4" s="429" t="s">
        <v>207</v>
      </c>
      <c r="B4" s="425" t="s">
        <v>227</v>
      </c>
      <c r="C4" s="426" t="s">
        <v>228</v>
      </c>
    </row>
    <row r="5" spans="1:3" x14ac:dyDescent="0.25">
      <c r="A5" s="429" t="s">
        <v>208</v>
      </c>
      <c r="B5" s="425" t="s">
        <v>230</v>
      </c>
      <c r="C5" s="426" t="s">
        <v>228</v>
      </c>
    </row>
    <row r="6" spans="1:3" x14ac:dyDescent="0.25">
      <c r="A6" s="429" t="s">
        <v>157</v>
      </c>
      <c r="B6" s="425" t="s">
        <v>231</v>
      </c>
      <c r="C6" s="283" t="s">
        <v>233</v>
      </c>
    </row>
    <row r="7" spans="1:3" x14ac:dyDescent="0.25">
      <c r="A7" s="429" t="s">
        <v>209</v>
      </c>
      <c r="B7" s="425" t="s">
        <v>232</v>
      </c>
      <c r="C7" s="426" t="s">
        <v>228</v>
      </c>
    </row>
    <row r="8" spans="1:3" x14ac:dyDescent="0.25">
      <c r="A8" s="429" t="s">
        <v>210</v>
      </c>
      <c r="B8" s="425" t="s">
        <v>234</v>
      </c>
      <c r="C8" s="283" t="s">
        <v>235</v>
      </c>
    </row>
    <row r="9" spans="1:3" x14ac:dyDescent="0.25">
      <c r="A9" s="429" t="s">
        <v>211</v>
      </c>
      <c r="B9" s="425" t="s">
        <v>236</v>
      </c>
      <c r="C9" s="426" t="s">
        <v>228</v>
      </c>
    </row>
    <row r="10" spans="1:3" x14ac:dyDescent="0.25">
      <c r="A10" s="429" t="s">
        <v>212</v>
      </c>
      <c r="B10" s="425" t="s">
        <v>237</v>
      </c>
      <c r="C10" s="283" t="s">
        <v>235</v>
      </c>
    </row>
    <row r="11" spans="1:3" x14ac:dyDescent="0.25">
      <c r="A11" s="429" t="s">
        <v>213</v>
      </c>
      <c r="B11" s="425" t="s">
        <v>238</v>
      </c>
      <c r="C11" s="283" t="s">
        <v>235</v>
      </c>
    </row>
    <row r="12" spans="1:3" x14ac:dyDescent="0.25">
      <c r="A12" s="429" t="s">
        <v>214</v>
      </c>
      <c r="B12" s="425" t="s">
        <v>239</v>
      </c>
      <c r="C12" s="283" t="s">
        <v>235</v>
      </c>
    </row>
    <row r="13" spans="1:3" x14ac:dyDescent="0.25">
      <c r="A13" s="429" t="s">
        <v>215</v>
      </c>
      <c r="B13" s="425" t="s">
        <v>240</v>
      </c>
      <c r="C13" s="283" t="s">
        <v>235</v>
      </c>
    </row>
    <row r="14" spans="1:3" x14ac:dyDescent="0.25">
      <c r="A14" s="446" t="s">
        <v>216</v>
      </c>
      <c r="B14" s="425" t="s">
        <v>241</v>
      </c>
      <c r="C14" s="283" t="s">
        <v>242</v>
      </c>
    </row>
    <row r="15" spans="1:3" x14ac:dyDescent="0.25">
      <c r="A15" s="429" t="s">
        <v>217</v>
      </c>
      <c r="B15" s="425" t="s">
        <v>243</v>
      </c>
      <c r="C15" s="283" t="s">
        <v>244</v>
      </c>
    </row>
    <row r="16" spans="1:3" x14ac:dyDescent="0.25">
      <c r="A16" s="429" t="s">
        <v>218</v>
      </c>
      <c r="B16" s="425" t="s">
        <v>245</v>
      </c>
      <c r="C16" s="283" t="s">
        <v>246</v>
      </c>
    </row>
    <row r="17" spans="1:3" ht="30" x14ac:dyDescent="0.25">
      <c r="A17" s="429" t="s">
        <v>219</v>
      </c>
      <c r="B17" s="427" t="s">
        <v>247</v>
      </c>
      <c r="C17" s="430" t="s">
        <v>248</v>
      </c>
    </row>
    <row r="18" spans="1:3" x14ac:dyDescent="0.25">
      <c r="A18" s="429" t="s">
        <v>220</v>
      </c>
      <c r="B18" s="425" t="s">
        <v>249</v>
      </c>
      <c r="C18" s="283" t="s">
        <v>250</v>
      </c>
    </row>
    <row r="19" spans="1:3" x14ac:dyDescent="0.25">
      <c r="A19" s="429" t="s">
        <v>221</v>
      </c>
      <c r="B19" s="425" t="s">
        <v>251</v>
      </c>
      <c r="C19" s="283" t="s">
        <v>253</v>
      </c>
    </row>
    <row r="20" spans="1:3" x14ac:dyDescent="0.25">
      <c r="A20" s="429" t="s">
        <v>222</v>
      </c>
      <c r="B20" s="425" t="s">
        <v>252</v>
      </c>
      <c r="C20" s="283" t="s">
        <v>253</v>
      </c>
    </row>
  </sheetData>
  <hyperlinks>
    <hyperlink ref="A3" location="Sumarizácia!R1C1" display="Sumarizácia" xr:uid="{00000000-0004-0000-0100-000000000000}"/>
    <hyperlink ref="A4" location="'CBA - Agendové IS'!R1C1" display="CBA" xr:uid="{00000000-0004-0000-0100-000001000000}"/>
    <hyperlink ref="A5" location="'Analyza citlivosti - AgendovéIS'!R1C1" display="Analyza citlivosti" xr:uid="{00000000-0004-0000-0100-000002000000}"/>
    <hyperlink ref="A6" location="'Prínosy - Agendové IS'!R1C1" display="Prínosy" xr:uid="{00000000-0004-0000-0100-000003000000}"/>
    <hyperlink ref="A7" location="'Výdavky - Agendové IS'!R1C1" display="Výdavky" xr:uid="{00000000-0004-0000-0100-000004000000}"/>
    <hyperlink ref="A8" location="'Parametre - Agendové IS'!R1C1" display="Parametre" xr:uid="{00000000-0004-0000-0100-000005000000}"/>
    <hyperlink ref="A9" location="TCO!R1C1" display="TCO" xr:uid="{00000000-0004-0000-0100-000006000000}"/>
    <hyperlink ref="A10" location="'TCO Alt. 1 - SW'!R1C1" display="TCO Alt. 1 - SW" xr:uid="{00000000-0004-0000-0100-000007000000}"/>
    <hyperlink ref="A11" location="'TCO Alt. 1 - HW'!R1C1" display="TCO Alt. 1 - HW" xr:uid="{00000000-0004-0000-0100-000008000000}"/>
    <hyperlink ref="A12" location="'TCO Alt. 2 - SW'!R1C1" display="TCO Alt. 2 - SW" xr:uid="{00000000-0004-0000-0100-000009000000}"/>
    <hyperlink ref="A13" location="'TCO Alt. 2 - HW'!R1C1" display="TCO Alt. 2 - HW" xr:uid="{00000000-0004-0000-0100-00000A000000}"/>
    <hyperlink ref="A14" location="'Indikativny rozpočet'!A1" display="Rozpočet - vývoj aplikácii" xr:uid="{00000000-0004-0000-0100-00000B000000}"/>
    <hyperlink ref="A15" location="'Slepý rozpočet'!R1C1" display="Slepý rozpočet" xr:uid="{00000000-0004-0000-0100-00000C000000}"/>
    <hyperlink ref="A16" location="Faktory!R1C1" display="Faktory" xr:uid="{00000000-0004-0000-0100-00000D000000}"/>
    <hyperlink ref="A17" location="'Meranie prínosov'!R1C1" display="Meranie prínosov" xr:uid="{00000000-0004-0000-0100-00000E000000}"/>
    <hyperlink ref="A18" location="'Procesné mapy'!R1C1" display="Procesné mapy" xr:uid="{00000000-0004-0000-0100-00000F000000}"/>
    <hyperlink ref="A19" location="'Procesy - AS IS'!R1C1" display="Procesy AS IS" xr:uid="{00000000-0004-0000-0100-000010000000}"/>
    <hyperlink ref="A20" location="'Procesy - TO BE'!R1C1" display="Procesy TO BE" xr:uid="{00000000-0004-0000-0100-000011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87951-1EBF-4A40-9507-4E0C872FDD74}">
  <dimension ref="A1:G64"/>
  <sheetViews>
    <sheetView workbookViewId="0">
      <selection activeCell="B2" sqref="B2"/>
    </sheetView>
  </sheetViews>
  <sheetFormatPr defaultColWidth="39.7109375" defaultRowHeight="15" x14ac:dyDescent="0.25"/>
  <cols>
    <col min="1" max="1" width="17.85546875" customWidth="1"/>
    <col min="2" max="2" width="89.7109375" customWidth="1"/>
    <col min="3" max="5" width="14" bestFit="1" customWidth="1"/>
    <col min="6" max="6" width="12.42578125" customWidth="1"/>
  </cols>
  <sheetData>
    <row r="1" spans="1:6" ht="15.75" thickBot="1" x14ac:dyDescent="0.3">
      <c r="A1" s="551"/>
      <c r="B1" s="552"/>
      <c r="C1" s="715" t="s">
        <v>605</v>
      </c>
      <c r="D1" s="716"/>
      <c r="E1" s="716"/>
    </row>
    <row r="2" spans="1:6" ht="41.25" customHeight="1" thickBot="1" x14ac:dyDescent="0.3">
      <c r="A2" s="553" t="s">
        <v>309</v>
      </c>
      <c r="B2" s="554" t="s">
        <v>606</v>
      </c>
      <c r="C2" s="555" t="s">
        <v>171</v>
      </c>
      <c r="D2" s="555" t="s">
        <v>172</v>
      </c>
      <c r="E2" s="555" t="s">
        <v>173</v>
      </c>
    </row>
    <row r="3" spans="1:6" ht="15.75" thickBot="1" x14ac:dyDescent="0.3">
      <c r="A3" s="556" t="s">
        <v>127</v>
      </c>
      <c r="B3" s="557"/>
      <c r="C3" s="558"/>
      <c r="D3" s="558"/>
      <c r="E3" s="558"/>
    </row>
    <row r="4" spans="1:6" ht="15.75" thickBot="1" x14ac:dyDescent="0.3">
      <c r="A4" s="556" t="s">
        <v>174</v>
      </c>
      <c r="B4" s="557"/>
      <c r="C4" s="559"/>
      <c r="D4" s="559"/>
      <c r="E4" s="559"/>
      <c r="F4" s="208"/>
    </row>
    <row r="5" spans="1:6" ht="15.75" thickBot="1" x14ac:dyDescent="0.3">
      <c r="A5" s="556" t="s">
        <v>314</v>
      </c>
      <c r="B5" s="557"/>
      <c r="C5" s="559"/>
      <c r="D5" s="559"/>
      <c r="E5" s="559"/>
      <c r="F5" s="208"/>
    </row>
    <row r="6" spans="1:6" ht="15.75" thickBot="1" x14ac:dyDescent="0.3">
      <c r="A6" s="560" t="s">
        <v>175</v>
      </c>
      <c r="B6" s="557" t="s">
        <v>607</v>
      </c>
      <c r="C6" s="559">
        <v>0.1</v>
      </c>
      <c r="D6" s="559">
        <v>3.3333333333333333E-2</v>
      </c>
      <c r="E6" s="559">
        <v>6.6666666666666666E-2</v>
      </c>
      <c r="F6" s="208">
        <f t="shared" ref="F6:F35" si="0">SUM(C6:E6)</f>
        <v>0.2</v>
      </c>
    </row>
    <row r="7" spans="1:6" ht="15.75" thickBot="1" x14ac:dyDescent="0.3">
      <c r="A7" s="560" t="s">
        <v>176</v>
      </c>
      <c r="B7" s="557" t="s">
        <v>607</v>
      </c>
      <c r="C7" s="559">
        <v>0.15</v>
      </c>
      <c r="D7" s="559">
        <v>6.6666666666666666E-2</v>
      </c>
      <c r="E7" s="559">
        <v>3.3333333333333333E-2</v>
      </c>
      <c r="F7" s="208">
        <f t="shared" si="0"/>
        <v>0.25</v>
      </c>
    </row>
    <row r="8" spans="1:6" ht="15.75" thickBot="1" x14ac:dyDescent="0.3">
      <c r="A8" s="560" t="s">
        <v>177</v>
      </c>
      <c r="B8" s="557" t="s">
        <v>607</v>
      </c>
      <c r="C8" s="559">
        <v>0.1</v>
      </c>
      <c r="D8" s="559">
        <v>0.05</v>
      </c>
      <c r="E8" s="559">
        <v>0.05</v>
      </c>
      <c r="F8" s="208">
        <f t="shared" si="0"/>
        <v>0.2</v>
      </c>
    </row>
    <row r="9" spans="1:6" ht="15.75" thickBot="1" x14ac:dyDescent="0.3">
      <c r="A9" s="560" t="s">
        <v>178</v>
      </c>
      <c r="B9" s="557" t="s">
        <v>607</v>
      </c>
      <c r="C9" s="559">
        <v>0.17</v>
      </c>
      <c r="D9" s="559">
        <v>3.3333333333333333E-2</v>
      </c>
      <c r="E9" s="559">
        <v>0.05</v>
      </c>
      <c r="F9" s="208">
        <f t="shared" si="0"/>
        <v>0.25333333333333335</v>
      </c>
    </row>
    <row r="10" spans="1:6" ht="15.75" thickBot="1" x14ac:dyDescent="0.3">
      <c r="A10" s="560" t="s">
        <v>179</v>
      </c>
      <c r="B10" s="557" t="s">
        <v>607</v>
      </c>
      <c r="C10" s="559">
        <v>0.17</v>
      </c>
      <c r="D10" s="559">
        <v>0.05</v>
      </c>
      <c r="E10" s="559">
        <v>3.3333333333333333E-2</v>
      </c>
      <c r="F10" s="208">
        <f t="shared" si="0"/>
        <v>0.25333333333333335</v>
      </c>
    </row>
    <row r="11" spans="1:6" ht="15.75" thickBot="1" x14ac:dyDescent="0.3">
      <c r="A11" s="560" t="s">
        <v>180</v>
      </c>
      <c r="B11" s="557" t="s">
        <v>607</v>
      </c>
      <c r="C11" s="559">
        <v>0.25</v>
      </c>
      <c r="D11" s="559">
        <v>6.6666666666666666E-2</v>
      </c>
      <c r="E11" s="559">
        <v>3.3333333333333333E-2</v>
      </c>
      <c r="F11" s="208">
        <f t="shared" si="0"/>
        <v>0.35</v>
      </c>
    </row>
    <row r="12" spans="1:6" ht="15.75" thickBot="1" x14ac:dyDescent="0.3">
      <c r="A12" s="560" t="s">
        <v>181</v>
      </c>
      <c r="B12" s="557" t="s">
        <v>607</v>
      </c>
      <c r="C12" s="559">
        <v>0.17</v>
      </c>
      <c r="D12" s="559">
        <v>0.05</v>
      </c>
      <c r="E12" s="559">
        <v>0.05</v>
      </c>
      <c r="F12" s="208">
        <f t="shared" si="0"/>
        <v>0.27</v>
      </c>
    </row>
    <row r="13" spans="1:6" ht="15.75" thickBot="1" x14ac:dyDescent="0.3">
      <c r="A13" s="560" t="s">
        <v>182</v>
      </c>
      <c r="B13" s="557" t="s">
        <v>607</v>
      </c>
      <c r="C13" s="559">
        <v>0.15</v>
      </c>
      <c r="D13" s="559">
        <v>3.3333333333333333E-2</v>
      </c>
      <c r="E13" s="559">
        <v>6.6666666666666666E-2</v>
      </c>
      <c r="F13" s="208">
        <f t="shared" si="0"/>
        <v>0.25</v>
      </c>
    </row>
    <row r="14" spans="1:6" ht="15.75" thickBot="1" x14ac:dyDescent="0.3">
      <c r="A14" s="560" t="s">
        <v>183</v>
      </c>
      <c r="B14" s="557" t="s">
        <v>607</v>
      </c>
      <c r="C14" s="559">
        <v>0.23333333333333334</v>
      </c>
      <c r="D14" s="559">
        <v>3.3333333333333333E-2</v>
      </c>
      <c r="E14" s="559">
        <v>0.05</v>
      </c>
      <c r="F14" s="208">
        <f t="shared" si="0"/>
        <v>0.31666666666666665</v>
      </c>
    </row>
    <row r="15" spans="1:6" ht="15.75" thickBot="1" x14ac:dyDescent="0.3">
      <c r="A15" s="560" t="s">
        <v>184</v>
      </c>
      <c r="B15" s="557" t="s">
        <v>607</v>
      </c>
      <c r="C15" s="559">
        <v>0.25</v>
      </c>
      <c r="D15" s="559">
        <v>0.05</v>
      </c>
      <c r="E15" s="559">
        <v>0.05</v>
      </c>
      <c r="F15" s="208">
        <f t="shared" si="0"/>
        <v>0.35</v>
      </c>
    </row>
    <row r="16" spans="1:6" ht="15.75" thickBot="1" x14ac:dyDescent="0.3">
      <c r="A16" s="560" t="s">
        <v>185</v>
      </c>
      <c r="B16" s="557" t="s">
        <v>608</v>
      </c>
      <c r="C16" s="559">
        <v>0.17</v>
      </c>
      <c r="D16" s="559">
        <v>6.6666666666666666E-2</v>
      </c>
      <c r="E16" s="559">
        <v>3.3333333333333333E-2</v>
      </c>
      <c r="F16" s="208">
        <f t="shared" si="0"/>
        <v>0.27</v>
      </c>
    </row>
    <row r="17" spans="1:6" ht="15.75" thickBot="1" x14ac:dyDescent="0.3">
      <c r="A17" s="560" t="s">
        <v>186</v>
      </c>
      <c r="B17" s="557" t="s">
        <v>608</v>
      </c>
      <c r="C17" s="559">
        <v>0.17</v>
      </c>
      <c r="D17" s="559">
        <v>6.6666666666666666E-2</v>
      </c>
      <c r="E17" s="559">
        <v>0.05</v>
      </c>
      <c r="F17" s="208">
        <f t="shared" si="0"/>
        <v>0.28666666666666668</v>
      </c>
    </row>
    <row r="18" spans="1:6" ht="15.75" thickBot="1" x14ac:dyDescent="0.3">
      <c r="A18" s="560" t="s">
        <v>187</v>
      </c>
      <c r="B18" s="557" t="s">
        <v>608</v>
      </c>
      <c r="C18" s="559">
        <v>0.15</v>
      </c>
      <c r="D18" s="559">
        <v>3.3333333333333333E-2</v>
      </c>
      <c r="E18" s="559">
        <v>0.05</v>
      </c>
      <c r="F18" s="208">
        <f t="shared" si="0"/>
        <v>0.23333333333333334</v>
      </c>
    </row>
    <row r="19" spans="1:6" ht="15.75" thickBot="1" x14ac:dyDescent="0.3">
      <c r="A19" s="560" t="s">
        <v>188</v>
      </c>
      <c r="B19" s="557" t="s">
        <v>608</v>
      </c>
      <c r="C19" s="559">
        <v>0.17</v>
      </c>
      <c r="D19" s="559">
        <v>0.05</v>
      </c>
      <c r="E19" s="559">
        <v>0.05</v>
      </c>
      <c r="F19" s="208">
        <f t="shared" si="0"/>
        <v>0.27</v>
      </c>
    </row>
    <row r="20" spans="1:6" ht="15.75" thickBot="1" x14ac:dyDescent="0.3">
      <c r="A20" s="560" t="s">
        <v>189</v>
      </c>
      <c r="B20" s="557" t="s">
        <v>608</v>
      </c>
      <c r="C20" s="559">
        <v>0.1</v>
      </c>
      <c r="D20" s="559">
        <v>3.3333333333333333E-2</v>
      </c>
      <c r="E20" s="559">
        <v>6.6666666666666666E-2</v>
      </c>
      <c r="F20" s="208">
        <f t="shared" si="0"/>
        <v>0.2</v>
      </c>
    </row>
    <row r="21" spans="1:6" ht="15.75" thickBot="1" x14ac:dyDescent="0.3">
      <c r="A21" s="560" t="s">
        <v>190</v>
      </c>
      <c r="B21" s="557" t="s">
        <v>608</v>
      </c>
      <c r="C21" s="559">
        <v>0.17</v>
      </c>
      <c r="D21" s="559">
        <v>3.3333333333333333E-2</v>
      </c>
      <c r="E21" s="559">
        <v>0.05</v>
      </c>
      <c r="F21" s="208">
        <f t="shared" si="0"/>
        <v>0.25333333333333335</v>
      </c>
    </row>
    <row r="22" spans="1:6" ht="15.75" thickBot="1" x14ac:dyDescent="0.3">
      <c r="A22" s="560" t="s">
        <v>191</v>
      </c>
      <c r="B22" s="557" t="s">
        <v>608</v>
      </c>
      <c r="C22" s="559">
        <v>0.15</v>
      </c>
      <c r="D22" s="559">
        <v>0.05</v>
      </c>
      <c r="E22" s="559">
        <v>0.05</v>
      </c>
      <c r="F22" s="208">
        <f t="shared" si="0"/>
        <v>0.25</v>
      </c>
    </row>
    <row r="23" spans="1:6" ht="15.75" thickBot="1" x14ac:dyDescent="0.3">
      <c r="A23" s="560" t="s">
        <v>192</v>
      </c>
      <c r="B23" s="557" t="s">
        <v>608</v>
      </c>
      <c r="C23" s="559">
        <v>0.25</v>
      </c>
      <c r="D23" s="559">
        <v>3.3333333333333333E-2</v>
      </c>
      <c r="E23" s="559">
        <v>0.05</v>
      </c>
      <c r="F23" s="208">
        <f t="shared" si="0"/>
        <v>0.33333333333333331</v>
      </c>
    </row>
    <row r="24" spans="1:6" ht="15.75" thickBot="1" x14ac:dyDescent="0.3">
      <c r="A24" s="560" t="s">
        <v>193</v>
      </c>
      <c r="B24" s="557" t="s">
        <v>608</v>
      </c>
      <c r="C24" s="559">
        <v>0.23333333333333334</v>
      </c>
      <c r="D24" s="559">
        <v>0.05</v>
      </c>
      <c r="E24" s="559">
        <v>6.6666666666666666E-2</v>
      </c>
      <c r="F24" s="208">
        <f t="shared" si="0"/>
        <v>0.35</v>
      </c>
    </row>
    <row r="25" spans="1:6" ht="15.75" thickBot="1" x14ac:dyDescent="0.3">
      <c r="A25" s="560" t="s">
        <v>194</v>
      </c>
      <c r="B25" s="557" t="s">
        <v>608</v>
      </c>
      <c r="C25" s="559">
        <v>0.17</v>
      </c>
      <c r="D25" s="559">
        <v>6.6666666666666666E-2</v>
      </c>
      <c r="E25" s="559">
        <v>3.3333333333333333E-2</v>
      </c>
      <c r="F25" s="208">
        <f t="shared" si="0"/>
        <v>0.27</v>
      </c>
    </row>
    <row r="26" spans="1:6" ht="15.75" thickBot="1" x14ac:dyDescent="0.3">
      <c r="A26" s="560" t="s">
        <v>195</v>
      </c>
      <c r="B26" s="557" t="s">
        <v>609</v>
      </c>
      <c r="C26" s="559">
        <v>0.17</v>
      </c>
      <c r="D26" s="559">
        <v>3.3333333333333333E-2</v>
      </c>
      <c r="E26" s="559">
        <v>0.05</v>
      </c>
      <c r="F26" s="208">
        <f t="shared" si="0"/>
        <v>0.25333333333333335</v>
      </c>
    </row>
    <row r="27" spans="1:6" ht="15.75" thickBot="1" x14ac:dyDescent="0.3">
      <c r="A27" s="560" t="s">
        <v>196</v>
      </c>
      <c r="B27" s="557" t="s">
        <v>609</v>
      </c>
      <c r="C27" s="559">
        <v>0.23333333333333334</v>
      </c>
      <c r="D27" s="559">
        <v>0.05</v>
      </c>
      <c r="E27" s="559">
        <v>0.05</v>
      </c>
      <c r="F27" s="208">
        <f t="shared" si="0"/>
        <v>0.33333333333333331</v>
      </c>
    </row>
    <row r="28" spans="1:6" ht="15.75" thickBot="1" x14ac:dyDescent="0.3">
      <c r="A28" s="560" t="s">
        <v>197</v>
      </c>
      <c r="B28" s="557" t="s">
        <v>609</v>
      </c>
      <c r="C28" s="559">
        <v>0.1</v>
      </c>
      <c r="D28" s="559">
        <v>0.05</v>
      </c>
      <c r="E28" s="559">
        <v>3.3333333333333333E-2</v>
      </c>
      <c r="F28" s="208">
        <f t="shared" si="0"/>
        <v>0.18333333333333335</v>
      </c>
    </row>
    <row r="29" spans="1:6" ht="15.75" thickBot="1" x14ac:dyDescent="0.3">
      <c r="A29" s="560" t="s">
        <v>198</v>
      </c>
      <c r="B29" s="557" t="s">
        <v>609</v>
      </c>
      <c r="C29" s="559">
        <v>0.17</v>
      </c>
      <c r="D29" s="559">
        <v>6.6666666666666666E-2</v>
      </c>
      <c r="E29" s="559">
        <v>0.05</v>
      </c>
      <c r="F29" s="208">
        <f t="shared" si="0"/>
        <v>0.28666666666666668</v>
      </c>
    </row>
    <row r="30" spans="1:6" ht="15.75" thickBot="1" x14ac:dyDescent="0.3">
      <c r="A30" s="560" t="s">
        <v>199</v>
      </c>
      <c r="B30" s="557" t="s">
        <v>609</v>
      </c>
      <c r="C30" s="559">
        <v>0.17</v>
      </c>
      <c r="D30" s="559">
        <v>3.3333333333333333E-2</v>
      </c>
      <c r="E30" s="559">
        <v>6.6666666666666666E-2</v>
      </c>
      <c r="F30" s="208">
        <f t="shared" si="0"/>
        <v>0.27</v>
      </c>
    </row>
    <row r="31" spans="1:6" ht="15.75" thickBot="1" x14ac:dyDescent="0.3">
      <c r="A31" s="560" t="s">
        <v>200</v>
      </c>
      <c r="B31" s="557" t="s">
        <v>609</v>
      </c>
      <c r="C31" s="559">
        <v>0.23333333333333334</v>
      </c>
      <c r="D31" s="559">
        <v>0.05</v>
      </c>
      <c r="E31" s="559">
        <v>0.05</v>
      </c>
      <c r="F31" s="208">
        <f t="shared" si="0"/>
        <v>0.33333333333333331</v>
      </c>
    </row>
    <row r="32" spans="1:6" ht="15.75" thickBot="1" x14ac:dyDescent="0.3">
      <c r="A32" s="560" t="s">
        <v>201</v>
      </c>
      <c r="B32" s="557" t="s">
        <v>609</v>
      </c>
      <c r="C32" s="559">
        <v>0.17</v>
      </c>
      <c r="D32" s="559">
        <v>6.6666666666666666E-2</v>
      </c>
      <c r="E32" s="559">
        <v>0.05</v>
      </c>
      <c r="F32" s="208">
        <f t="shared" si="0"/>
        <v>0.28666666666666668</v>
      </c>
    </row>
    <row r="33" spans="1:7" ht="15.75" thickBot="1" x14ac:dyDescent="0.3">
      <c r="A33" s="560" t="s">
        <v>202</v>
      </c>
      <c r="B33" s="557" t="s">
        <v>609</v>
      </c>
      <c r="C33" s="559">
        <v>0.1</v>
      </c>
      <c r="D33" s="559">
        <v>6.6666666666666666E-2</v>
      </c>
      <c r="E33" s="559">
        <v>6.6666666666666666E-2</v>
      </c>
      <c r="F33" s="208">
        <f t="shared" si="0"/>
        <v>0.23333333333333334</v>
      </c>
    </row>
    <row r="34" spans="1:7" ht="15.75" thickBot="1" x14ac:dyDescent="0.3">
      <c r="A34" s="560" t="s">
        <v>203</v>
      </c>
      <c r="B34" s="557" t="s">
        <v>609</v>
      </c>
      <c r="C34" s="559">
        <v>0.17</v>
      </c>
      <c r="D34" s="559">
        <v>3.3333333333333333E-2</v>
      </c>
      <c r="E34" s="559">
        <v>6.6666666666666666E-2</v>
      </c>
      <c r="F34" s="208">
        <f t="shared" si="0"/>
        <v>0.27</v>
      </c>
    </row>
    <row r="35" spans="1:7" ht="15.75" thickBot="1" x14ac:dyDescent="0.3">
      <c r="A35" s="560" t="s">
        <v>204</v>
      </c>
      <c r="B35" s="557" t="s">
        <v>609</v>
      </c>
      <c r="C35" s="559">
        <v>0.23333333333333334</v>
      </c>
      <c r="D35" s="559">
        <v>0.05</v>
      </c>
      <c r="E35" s="559">
        <v>6.6666666666666666E-2</v>
      </c>
      <c r="F35" s="208">
        <f t="shared" si="0"/>
        <v>0.35</v>
      </c>
    </row>
    <row r="36" spans="1:7" x14ac:dyDescent="0.25">
      <c r="C36" s="487">
        <f>AVERAGE(C5:C35)</f>
        <v>0.17422222222222222</v>
      </c>
      <c r="D36" s="487">
        <f t="shared" ref="D36:E36" si="1">AVERAGE(D5:D35)</f>
        <v>4.8333333333333346E-2</v>
      </c>
      <c r="E36" s="487">
        <f t="shared" si="1"/>
        <v>5.1111111111111121E-2</v>
      </c>
      <c r="F36" s="488">
        <f>AVERAGE(F6:F35)</f>
        <v>0.27366666666666661</v>
      </c>
      <c r="G36" t="s">
        <v>317</v>
      </c>
    </row>
    <row r="37" spans="1:7" x14ac:dyDescent="0.25">
      <c r="A37" s="551"/>
      <c r="C37" s="489">
        <v>0</v>
      </c>
      <c r="D37" s="489">
        <v>0</v>
      </c>
      <c r="E37" s="489">
        <v>0</v>
      </c>
      <c r="F37" s="489">
        <f>SUM(C37:E37)</f>
        <v>0</v>
      </c>
      <c r="G37" t="s">
        <v>316</v>
      </c>
    </row>
    <row r="38" spans="1:7" ht="15.75" x14ac:dyDescent="0.25">
      <c r="A38" s="561" t="s">
        <v>439</v>
      </c>
      <c r="B38" s="562" t="s">
        <v>315</v>
      </c>
      <c r="C38" s="563"/>
      <c r="D38" s="563"/>
      <c r="E38" s="563"/>
    </row>
    <row r="39" spans="1:7" ht="15.75" x14ac:dyDescent="0.25">
      <c r="A39" s="564">
        <v>1</v>
      </c>
      <c r="B39" s="73" t="s">
        <v>610</v>
      </c>
      <c r="C39" s="563"/>
      <c r="D39" s="563"/>
      <c r="E39" s="563"/>
    </row>
    <row r="40" spans="1:7" ht="15.75" x14ac:dyDescent="0.25">
      <c r="A40" s="564">
        <v>2</v>
      </c>
      <c r="B40" s="73" t="s">
        <v>611</v>
      </c>
      <c r="C40" s="563"/>
      <c r="E40" s="551"/>
    </row>
    <row r="41" spans="1:7" x14ac:dyDescent="0.25">
      <c r="A41" s="564">
        <v>3</v>
      </c>
      <c r="B41" s="73" t="s">
        <v>612</v>
      </c>
      <c r="C41" s="551"/>
    </row>
    <row r="42" spans="1:7" x14ac:dyDescent="0.25">
      <c r="A42" s="564"/>
      <c r="B42" s="531"/>
      <c r="C42" s="551"/>
      <c r="D42" s="565"/>
      <c r="E42" s="551"/>
    </row>
    <row r="43" spans="1:7" x14ac:dyDescent="0.25">
      <c r="A43" s="564"/>
      <c r="B43" s="73"/>
      <c r="C43" s="551"/>
      <c r="D43" s="565"/>
      <c r="E43" s="551"/>
    </row>
    <row r="44" spans="1:7" x14ac:dyDescent="0.25">
      <c r="A44" s="564"/>
      <c r="B44" s="531"/>
      <c r="C44" s="551"/>
      <c r="D44" s="566"/>
    </row>
    <row r="45" spans="1:7" x14ac:dyDescent="0.25">
      <c r="A45" s="564"/>
      <c r="B45" s="73"/>
      <c r="D45" s="566"/>
      <c r="E45" s="551"/>
    </row>
    <row r="46" spans="1:7" x14ac:dyDescent="0.25">
      <c r="A46" s="564"/>
      <c r="B46" s="73"/>
      <c r="D46" s="565"/>
      <c r="E46" s="551"/>
    </row>
    <row r="47" spans="1:7" x14ac:dyDescent="0.25">
      <c r="A47" s="564"/>
      <c r="B47" s="73"/>
      <c r="D47" s="566"/>
    </row>
    <row r="48" spans="1:7" x14ac:dyDescent="0.25">
      <c r="A48" s="564"/>
      <c r="B48" s="73"/>
      <c r="D48" s="566"/>
    </row>
    <row r="49" spans="1:4" x14ac:dyDescent="0.25">
      <c r="A49" s="564"/>
      <c r="B49" s="73"/>
      <c r="D49" s="566"/>
    </row>
    <row r="50" spans="1:4" x14ac:dyDescent="0.25">
      <c r="A50" s="564"/>
      <c r="B50" s="73"/>
      <c r="D50" s="566"/>
    </row>
    <row r="51" spans="1:4" x14ac:dyDescent="0.25">
      <c r="A51" s="564"/>
      <c r="B51" s="73"/>
      <c r="D51" s="566"/>
    </row>
    <row r="52" spans="1:4" x14ac:dyDescent="0.25">
      <c r="A52" s="567"/>
      <c r="B52" s="73"/>
      <c r="D52" s="566"/>
    </row>
    <row r="53" spans="1:4" x14ac:dyDescent="0.25">
      <c r="D53" s="566"/>
    </row>
    <row r="54" spans="1:4" x14ac:dyDescent="0.25">
      <c r="D54" s="566"/>
    </row>
    <row r="55" spans="1:4" x14ac:dyDescent="0.25">
      <c r="D55" s="566"/>
    </row>
    <row r="56" spans="1:4" x14ac:dyDescent="0.25">
      <c r="D56" s="566"/>
    </row>
    <row r="57" spans="1:4" x14ac:dyDescent="0.25">
      <c r="D57" s="566"/>
    </row>
    <row r="58" spans="1:4" x14ac:dyDescent="0.25">
      <c r="D58" s="566"/>
    </row>
    <row r="59" spans="1:4" x14ac:dyDescent="0.25">
      <c r="D59" s="566"/>
    </row>
    <row r="60" spans="1:4" x14ac:dyDescent="0.25">
      <c r="D60" s="566"/>
    </row>
    <row r="61" spans="1:4" x14ac:dyDescent="0.25">
      <c r="D61" s="566"/>
    </row>
    <row r="62" spans="1:4" x14ac:dyDescent="0.25">
      <c r="D62" s="566"/>
    </row>
    <row r="63" spans="1:4" x14ac:dyDescent="0.25">
      <c r="D63" s="566"/>
    </row>
    <row r="64" spans="1:4" x14ac:dyDescent="0.25">
      <c r="D64" s="566"/>
    </row>
  </sheetData>
  <mergeCells count="1">
    <mergeCell ref="C1:E1"/>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213B9-FA9F-4363-BA68-3EE14E9B13F8}">
  <dimension ref="A1:H65"/>
  <sheetViews>
    <sheetView workbookViewId="0">
      <selection activeCell="D37" sqref="D37"/>
    </sheetView>
  </sheetViews>
  <sheetFormatPr defaultColWidth="39.7109375" defaultRowHeight="15" x14ac:dyDescent="0.25"/>
  <cols>
    <col min="1" max="1" width="17.85546875" customWidth="1"/>
    <col min="2" max="2" width="89.7109375" customWidth="1"/>
    <col min="3" max="6" width="14" bestFit="1" customWidth="1"/>
    <col min="7" max="7" width="12.42578125" customWidth="1"/>
  </cols>
  <sheetData>
    <row r="1" spans="1:7" ht="15.75" thickBot="1" x14ac:dyDescent="0.3">
      <c r="A1" s="551"/>
      <c r="B1" s="552"/>
      <c r="C1" s="715" t="s">
        <v>505</v>
      </c>
      <c r="D1" s="716"/>
      <c r="E1" s="716"/>
      <c r="F1" s="716"/>
    </row>
    <row r="2" spans="1:7" ht="41.25" customHeight="1" thickBot="1" x14ac:dyDescent="0.3">
      <c r="A2" s="553" t="s">
        <v>309</v>
      </c>
      <c r="B2" s="554" t="s">
        <v>360</v>
      </c>
      <c r="C2" s="555" t="s">
        <v>171</v>
      </c>
      <c r="D2" s="555" t="s">
        <v>172</v>
      </c>
      <c r="E2" s="555" t="s">
        <v>173</v>
      </c>
      <c r="F2" s="555" t="s">
        <v>310</v>
      </c>
    </row>
    <row r="3" spans="1:7" ht="15.75" thickBot="1" x14ac:dyDescent="0.3">
      <c r="A3" s="556" t="s">
        <v>127</v>
      </c>
      <c r="B3" s="557"/>
      <c r="C3" s="558"/>
      <c r="D3" s="558"/>
      <c r="E3" s="558"/>
      <c r="F3" s="558"/>
    </row>
    <row r="4" spans="1:7" ht="15.75" thickBot="1" x14ac:dyDescent="0.3">
      <c r="A4" s="556" t="s">
        <v>174</v>
      </c>
      <c r="B4" s="557"/>
      <c r="C4" s="559"/>
      <c r="D4" s="559"/>
      <c r="E4" s="559"/>
      <c r="F4" s="559"/>
      <c r="G4" s="208"/>
    </row>
    <row r="5" spans="1:7" ht="15.75" thickBot="1" x14ac:dyDescent="0.3">
      <c r="A5" s="556" t="s">
        <v>314</v>
      </c>
      <c r="B5" s="557"/>
      <c r="C5" s="559"/>
      <c r="D5" s="559"/>
      <c r="E5" s="559"/>
      <c r="F5" s="559"/>
      <c r="G5" s="208"/>
    </row>
    <row r="6" spans="1:7" ht="15.75" thickBot="1" x14ac:dyDescent="0.3">
      <c r="A6" s="560" t="s">
        <v>175</v>
      </c>
      <c r="B6" s="557" t="s">
        <v>506</v>
      </c>
      <c r="C6" s="559">
        <v>27</v>
      </c>
      <c r="D6" s="559">
        <v>13</v>
      </c>
      <c r="E6" s="559">
        <v>28</v>
      </c>
      <c r="F6" s="559">
        <v>30</v>
      </c>
      <c r="G6" s="208">
        <f t="shared" ref="G6:G35" si="0">SUM(C6:F6)</f>
        <v>98</v>
      </c>
    </row>
    <row r="7" spans="1:7" ht="15.75" thickBot="1" x14ac:dyDescent="0.3">
      <c r="A7" s="560" t="s">
        <v>176</v>
      </c>
      <c r="B7" s="557" t="s">
        <v>507</v>
      </c>
      <c r="C7" s="559">
        <v>29</v>
      </c>
      <c r="D7" s="559">
        <v>15</v>
      </c>
      <c r="E7" s="559">
        <v>29</v>
      </c>
      <c r="F7" s="559">
        <v>30</v>
      </c>
      <c r="G7" s="208">
        <f t="shared" si="0"/>
        <v>103</v>
      </c>
    </row>
    <row r="8" spans="1:7" ht="15.75" thickBot="1" x14ac:dyDescent="0.3">
      <c r="A8" s="560" t="s">
        <v>177</v>
      </c>
      <c r="B8" s="557" t="s">
        <v>508</v>
      </c>
      <c r="C8" s="559">
        <v>29</v>
      </c>
      <c r="D8" s="559">
        <v>15</v>
      </c>
      <c r="E8" s="559">
        <v>29</v>
      </c>
      <c r="F8" s="559">
        <v>31</v>
      </c>
      <c r="G8" s="208">
        <f t="shared" si="0"/>
        <v>104</v>
      </c>
    </row>
    <row r="9" spans="1:7" ht="15.75" thickBot="1" x14ac:dyDescent="0.3">
      <c r="A9" s="560" t="s">
        <v>178</v>
      </c>
      <c r="B9" s="557" t="s">
        <v>509</v>
      </c>
      <c r="C9" s="559">
        <v>34</v>
      </c>
      <c r="D9" s="559">
        <v>15</v>
      </c>
      <c r="E9" s="559">
        <v>29</v>
      </c>
      <c r="F9" s="559">
        <v>30</v>
      </c>
      <c r="G9" s="208">
        <f t="shared" si="0"/>
        <v>108</v>
      </c>
    </row>
    <row r="10" spans="1:7" ht="15.75" thickBot="1" x14ac:dyDescent="0.3">
      <c r="A10" s="560" t="s">
        <v>179</v>
      </c>
      <c r="B10" s="557" t="s">
        <v>510</v>
      </c>
      <c r="C10" s="559">
        <v>28</v>
      </c>
      <c r="D10" s="559">
        <v>15</v>
      </c>
      <c r="E10" s="559">
        <v>33</v>
      </c>
      <c r="F10" s="559">
        <v>30</v>
      </c>
      <c r="G10" s="208">
        <f t="shared" si="0"/>
        <v>106</v>
      </c>
    </row>
    <row r="11" spans="1:7" ht="15.75" thickBot="1" x14ac:dyDescent="0.3">
      <c r="A11" s="560" t="s">
        <v>180</v>
      </c>
      <c r="B11" s="557" t="s">
        <v>511</v>
      </c>
      <c r="C11" s="559">
        <v>29</v>
      </c>
      <c r="D11" s="559">
        <v>15</v>
      </c>
      <c r="E11" s="559">
        <v>28</v>
      </c>
      <c r="F11" s="559">
        <v>28</v>
      </c>
      <c r="G11" s="208">
        <f t="shared" si="0"/>
        <v>100</v>
      </c>
    </row>
    <row r="12" spans="1:7" ht="15.75" thickBot="1" x14ac:dyDescent="0.3">
      <c r="A12" s="560" t="s">
        <v>181</v>
      </c>
      <c r="B12" s="557" t="s">
        <v>512</v>
      </c>
      <c r="C12" s="559">
        <v>27</v>
      </c>
      <c r="D12" s="559">
        <v>18</v>
      </c>
      <c r="E12" s="559">
        <v>28</v>
      </c>
      <c r="F12" s="559">
        <v>31</v>
      </c>
      <c r="G12" s="208">
        <f t="shared" si="0"/>
        <v>104</v>
      </c>
    </row>
    <row r="13" spans="1:7" ht="15.75" thickBot="1" x14ac:dyDescent="0.3">
      <c r="A13" s="560" t="s">
        <v>182</v>
      </c>
      <c r="B13" s="557" t="s">
        <v>513</v>
      </c>
      <c r="C13" s="559">
        <v>35</v>
      </c>
      <c r="D13" s="559">
        <v>15</v>
      </c>
      <c r="E13" s="559">
        <v>29</v>
      </c>
      <c r="F13" s="559">
        <v>30</v>
      </c>
      <c r="G13" s="208">
        <f t="shared" si="0"/>
        <v>109</v>
      </c>
    </row>
    <row r="14" spans="1:7" ht="15.75" thickBot="1" x14ac:dyDescent="0.3">
      <c r="A14" s="560" t="s">
        <v>183</v>
      </c>
      <c r="B14" s="557" t="s">
        <v>514</v>
      </c>
      <c r="C14" s="559">
        <v>29</v>
      </c>
      <c r="D14" s="559">
        <v>18</v>
      </c>
      <c r="E14" s="559">
        <v>29</v>
      </c>
      <c r="F14" s="559">
        <v>30</v>
      </c>
      <c r="G14" s="208">
        <f t="shared" si="0"/>
        <v>106</v>
      </c>
    </row>
    <row r="15" spans="1:7" ht="15.75" thickBot="1" x14ac:dyDescent="0.3">
      <c r="A15" s="560" t="s">
        <v>184</v>
      </c>
      <c r="B15" s="557" t="s">
        <v>515</v>
      </c>
      <c r="C15" s="559">
        <v>30</v>
      </c>
      <c r="D15" s="559">
        <v>13</v>
      </c>
      <c r="E15" s="559">
        <v>29</v>
      </c>
      <c r="F15" s="559">
        <v>30</v>
      </c>
      <c r="G15" s="208">
        <f t="shared" si="0"/>
        <v>102</v>
      </c>
    </row>
    <row r="16" spans="1:7" ht="15.75" thickBot="1" x14ac:dyDescent="0.3">
      <c r="A16" s="560" t="s">
        <v>185</v>
      </c>
      <c r="B16" s="557" t="s">
        <v>516</v>
      </c>
      <c r="C16" s="559">
        <v>28</v>
      </c>
      <c r="D16" s="559">
        <v>17</v>
      </c>
      <c r="E16" s="559">
        <v>28</v>
      </c>
      <c r="F16" s="559">
        <v>28</v>
      </c>
      <c r="G16" s="208">
        <f t="shared" si="0"/>
        <v>101</v>
      </c>
    </row>
    <row r="17" spans="1:7" ht="15.75" thickBot="1" x14ac:dyDescent="0.3">
      <c r="A17" s="560" t="s">
        <v>186</v>
      </c>
      <c r="B17" s="557" t="s">
        <v>517</v>
      </c>
      <c r="C17" s="559">
        <v>32</v>
      </c>
      <c r="D17" s="559">
        <v>15</v>
      </c>
      <c r="E17" s="559">
        <v>33</v>
      </c>
      <c r="F17" s="559">
        <v>34</v>
      </c>
      <c r="G17" s="208">
        <f t="shared" si="0"/>
        <v>114</v>
      </c>
    </row>
    <row r="18" spans="1:7" ht="15.75" thickBot="1" x14ac:dyDescent="0.3">
      <c r="A18" s="560" t="s">
        <v>187</v>
      </c>
      <c r="B18" s="557" t="s">
        <v>518</v>
      </c>
      <c r="C18" s="559">
        <v>33</v>
      </c>
      <c r="D18" s="559">
        <v>15</v>
      </c>
      <c r="E18" s="559">
        <v>29</v>
      </c>
      <c r="F18" s="559">
        <v>30</v>
      </c>
      <c r="G18" s="208">
        <f t="shared" si="0"/>
        <v>107</v>
      </c>
    </row>
    <row r="19" spans="1:7" ht="15.75" thickBot="1" x14ac:dyDescent="0.3">
      <c r="A19" s="560" t="s">
        <v>188</v>
      </c>
      <c r="B19" s="557" t="s">
        <v>519</v>
      </c>
      <c r="C19" s="559">
        <v>25</v>
      </c>
      <c r="D19" s="559">
        <v>13</v>
      </c>
      <c r="E19" s="559">
        <v>29</v>
      </c>
      <c r="F19" s="559">
        <v>33</v>
      </c>
      <c r="G19" s="208">
        <f t="shared" si="0"/>
        <v>100</v>
      </c>
    </row>
    <row r="20" spans="1:7" ht="15.75" thickBot="1" x14ac:dyDescent="0.3">
      <c r="A20" s="560" t="s">
        <v>189</v>
      </c>
      <c r="B20" s="557" t="s">
        <v>520</v>
      </c>
      <c r="C20" s="559">
        <v>29</v>
      </c>
      <c r="D20" s="559">
        <v>16</v>
      </c>
      <c r="E20" s="559">
        <v>29</v>
      </c>
      <c r="F20" s="559">
        <v>30</v>
      </c>
      <c r="G20" s="208">
        <f t="shared" si="0"/>
        <v>104</v>
      </c>
    </row>
    <row r="21" spans="1:7" ht="15.75" thickBot="1" x14ac:dyDescent="0.3">
      <c r="A21" s="560" t="s">
        <v>190</v>
      </c>
      <c r="B21" s="557" t="s">
        <v>521</v>
      </c>
      <c r="C21" s="559">
        <v>28</v>
      </c>
      <c r="D21" s="559">
        <v>15</v>
      </c>
      <c r="E21" s="559">
        <v>28</v>
      </c>
      <c r="F21" s="559">
        <v>31</v>
      </c>
      <c r="G21" s="208">
        <f t="shared" si="0"/>
        <v>102</v>
      </c>
    </row>
    <row r="22" spans="1:7" ht="15.75" thickBot="1" x14ac:dyDescent="0.3">
      <c r="A22" s="560" t="s">
        <v>191</v>
      </c>
      <c r="B22" s="557" t="s">
        <v>522</v>
      </c>
      <c r="C22" s="559">
        <v>25</v>
      </c>
      <c r="D22" s="559">
        <v>15</v>
      </c>
      <c r="E22" s="559">
        <v>28</v>
      </c>
      <c r="F22" s="559">
        <v>34</v>
      </c>
      <c r="G22" s="208">
        <f t="shared" si="0"/>
        <v>102</v>
      </c>
    </row>
    <row r="23" spans="1:7" ht="15.75" thickBot="1" x14ac:dyDescent="0.3">
      <c r="A23" s="560" t="s">
        <v>192</v>
      </c>
      <c r="B23" s="557" t="s">
        <v>523</v>
      </c>
      <c r="C23" s="559">
        <v>34</v>
      </c>
      <c r="D23" s="559">
        <v>13</v>
      </c>
      <c r="E23" s="559">
        <v>29</v>
      </c>
      <c r="F23" s="559">
        <v>30</v>
      </c>
      <c r="G23" s="208">
        <f t="shared" si="0"/>
        <v>106</v>
      </c>
    </row>
    <row r="24" spans="1:7" ht="15.75" thickBot="1" x14ac:dyDescent="0.3">
      <c r="A24" s="560" t="s">
        <v>193</v>
      </c>
      <c r="B24" s="557" t="s">
        <v>524</v>
      </c>
      <c r="C24" s="559">
        <v>34</v>
      </c>
      <c r="D24" s="559">
        <v>18</v>
      </c>
      <c r="E24" s="559">
        <v>33</v>
      </c>
      <c r="F24" s="559">
        <v>31</v>
      </c>
      <c r="G24" s="208">
        <f t="shared" si="0"/>
        <v>116</v>
      </c>
    </row>
    <row r="25" spans="1:7" ht="15.75" thickBot="1" x14ac:dyDescent="0.3">
      <c r="A25" s="560" t="s">
        <v>194</v>
      </c>
      <c r="B25" s="557" t="s">
        <v>525</v>
      </c>
      <c r="C25" s="559">
        <v>30</v>
      </c>
      <c r="D25" s="559">
        <v>15</v>
      </c>
      <c r="E25" s="559">
        <v>29</v>
      </c>
      <c r="F25" s="559">
        <v>29</v>
      </c>
      <c r="G25" s="208">
        <f t="shared" si="0"/>
        <v>103</v>
      </c>
    </row>
    <row r="26" spans="1:7" ht="15.75" thickBot="1" x14ac:dyDescent="0.3">
      <c r="A26" s="560" t="s">
        <v>195</v>
      </c>
      <c r="B26" s="557" t="s">
        <v>526</v>
      </c>
      <c r="C26" s="559">
        <v>29</v>
      </c>
      <c r="D26" s="559">
        <v>15</v>
      </c>
      <c r="E26" s="559">
        <v>29</v>
      </c>
      <c r="F26" s="559">
        <v>30</v>
      </c>
      <c r="G26" s="208">
        <f t="shared" si="0"/>
        <v>103</v>
      </c>
    </row>
    <row r="27" spans="1:7" ht="15.75" thickBot="1" x14ac:dyDescent="0.3">
      <c r="A27" s="560" t="s">
        <v>196</v>
      </c>
      <c r="B27" s="557" t="s">
        <v>527</v>
      </c>
      <c r="C27" s="559">
        <v>25</v>
      </c>
      <c r="D27" s="559">
        <v>17</v>
      </c>
      <c r="E27" s="559">
        <v>33</v>
      </c>
      <c r="F27" s="559">
        <v>30</v>
      </c>
      <c r="G27" s="208">
        <f t="shared" si="0"/>
        <v>105</v>
      </c>
    </row>
    <row r="28" spans="1:7" ht="15.75" thickBot="1" x14ac:dyDescent="0.3">
      <c r="A28" s="560" t="s">
        <v>197</v>
      </c>
      <c r="B28" s="557" t="s">
        <v>528</v>
      </c>
      <c r="C28" s="559">
        <v>30</v>
      </c>
      <c r="D28" s="559">
        <v>15</v>
      </c>
      <c r="E28" s="559">
        <v>29</v>
      </c>
      <c r="F28" s="559">
        <v>31</v>
      </c>
      <c r="G28" s="208">
        <f t="shared" si="0"/>
        <v>105</v>
      </c>
    </row>
    <row r="29" spans="1:7" ht="15.75" thickBot="1" x14ac:dyDescent="0.3">
      <c r="A29" s="560" t="s">
        <v>198</v>
      </c>
      <c r="B29" s="557" t="s">
        <v>529</v>
      </c>
      <c r="C29" s="559">
        <v>32</v>
      </c>
      <c r="D29" s="559">
        <v>17</v>
      </c>
      <c r="E29" s="559">
        <v>27</v>
      </c>
      <c r="F29" s="559">
        <v>28</v>
      </c>
      <c r="G29" s="208">
        <f t="shared" si="0"/>
        <v>104</v>
      </c>
    </row>
    <row r="30" spans="1:7" ht="15.75" thickBot="1" x14ac:dyDescent="0.3">
      <c r="A30" s="560" t="s">
        <v>199</v>
      </c>
      <c r="B30" s="557" t="s">
        <v>530</v>
      </c>
      <c r="C30" s="559">
        <v>25</v>
      </c>
      <c r="D30" s="559">
        <v>16</v>
      </c>
      <c r="E30" s="559">
        <v>33</v>
      </c>
      <c r="F30" s="559">
        <v>30</v>
      </c>
      <c r="G30" s="208">
        <f t="shared" si="0"/>
        <v>104</v>
      </c>
    </row>
    <row r="31" spans="1:7" ht="15.75" thickBot="1" x14ac:dyDescent="0.3">
      <c r="A31" s="560" t="s">
        <v>200</v>
      </c>
      <c r="B31" s="557" t="s">
        <v>531</v>
      </c>
      <c r="C31" s="559">
        <v>30</v>
      </c>
      <c r="D31" s="559">
        <v>15</v>
      </c>
      <c r="E31" s="559">
        <v>29</v>
      </c>
      <c r="F31" s="559">
        <v>34</v>
      </c>
      <c r="G31" s="208">
        <f t="shared" si="0"/>
        <v>108</v>
      </c>
    </row>
    <row r="32" spans="1:7" ht="15.75" thickBot="1" x14ac:dyDescent="0.3">
      <c r="A32" s="560" t="s">
        <v>201</v>
      </c>
      <c r="B32" s="557" t="s">
        <v>532</v>
      </c>
      <c r="C32" s="559">
        <v>29</v>
      </c>
      <c r="D32" s="559">
        <v>17</v>
      </c>
      <c r="E32" s="559">
        <v>33</v>
      </c>
      <c r="F32" s="559">
        <v>30</v>
      </c>
      <c r="G32" s="208">
        <f t="shared" si="0"/>
        <v>109</v>
      </c>
    </row>
    <row r="33" spans="1:8" ht="15.75" thickBot="1" x14ac:dyDescent="0.3">
      <c r="A33" s="560" t="s">
        <v>202</v>
      </c>
      <c r="B33" s="557" t="s">
        <v>533</v>
      </c>
      <c r="C33" s="559">
        <v>25</v>
      </c>
      <c r="D33" s="559">
        <v>15</v>
      </c>
      <c r="E33" s="559">
        <v>31</v>
      </c>
      <c r="F33" s="559">
        <v>30</v>
      </c>
      <c r="G33" s="208">
        <f t="shared" si="0"/>
        <v>101</v>
      </c>
    </row>
    <row r="34" spans="1:8" ht="15.75" thickBot="1" x14ac:dyDescent="0.3">
      <c r="A34" s="560" t="s">
        <v>203</v>
      </c>
      <c r="B34" s="557" t="s">
        <v>534</v>
      </c>
      <c r="C34" s="559">
        <v>30</v>
      </c>
      <c r="D34" s="559">
        <v>16</v>
      </c>
      <c r="E34" s="559">
        <v>26</v>
      </c>
      <c r="F34" s="559">
        <v>27</v>
      </c>
      <c r="G34" s="208">
        <f t="shared" si="0"/>
        <v>99</v>
      </c>
    </row>
    <row r="35" spans="1:8" ht="15.75" thickBot="1" x14ac:dyDescent="0.3">
      <c r="A35" s="560" t="s">
        <v>204</v>
      </c>
      <c r="B35" s="557" t="s">
        <v>535</v>
      </c>
      <c r="C35" s="559">
        <v>33</v>
      </c>
      <c r="D35" s="559">
        <v>15</v>
      </c>
      <c r="E35" s="559">
        <v>25</v>
      </c>
      <c r="F35" s="559">
        <v>33</v>
      </c>
      <c r="G35" s="208">
        <f t="shared" si="0"/>
        <v>106</v>
      </c>
    </row>
    <row r="36" spans="1:8" x14ac:dyDescent="0.25">
      <c r="C36" s="487">
        <f>AVERAGE(C5:C35)</f>
        <v>29.433333333333334</v>
      </c>
      <c r="D36" s="487">
        <f t="shared" ref="D36:F36" si="1">AVERAGE(D5:D35)</f>
        <v>15.4</v>
      </c>
      <c r="E36" s="487">
        <f t="shared" si="1"/>
        <v>29.366666666666667</v>
      </c>
      <c r="F36" s="487">
        <f t="shared" si="1"/>
        <v>30.433333333333334</v>
      </c>
      <c r="G36" s="488">
        <f>AVERAGE(G6:G35)</f>
        <v>104.63333333333334</v>
      </c>
      <c r="H36" t="s">
        <v>317</v>
      </c>
    </row>
    <row r="37" spans="1:8" x14ac:dyDescent="0.25">
      <c r="A37" s="551"/>
      <c r="C37" s="489">
        <f>C36-4</f>
        <v>25.433333333333334</v>
      </c>
      <c r="D37" s="489">
        <f>D36-14</f>
        <v>1.4000000000000004</v>
      </c>
      <c r="E37" s="489">
        <f>E36-4</f>
        <v>25.366666666666667</v>
      </c>
      <c r="F37" s="489">
        <f>F36-30</f>
        <v>0.43333333333333357</v>
      </c>
      <c r="G37" s="489">
        <f>SUM(C37:F37)</f>
        <v>52.63333333333334</v>
      </c>
      <c r="H37" t="s">
        <v>316</v>
      </c>
    </row>
    <row r="38" spans="1:8" ht="15.75" x14ac:dyDescent="0.25">
      <c r="A38" s="561" t="s">
        <v>439</v>
      </c>
      <c r="B38" s="562" t="s">
        <v>315</v>
      </c>
      <c r="C38" s="563"/>
      <c r="D38" s="563"/>
      <c r="E38" s="563"/>
      <c r="F38" s="563"/>
    </row>
    <row r="39" spans="1:8" ht="15.75" x14ac:dyDescent="0.25">
      <c r="A39" s="564">
        <v>1</v>
      </c>
      <c r="B39" s="531" t="s">
        <v>536</v>
      </c>
      <c r="C39" s="563"/>
      <c r="D39" s="563"/>
      <c r="E39" s="563"/>
      <c r="F39" s="563"/>
    </row>
    <row r="40" spans="1:8" ht="15.75" x14ac:dyDescent="0.25">
      <c r="A40" s="564">
        <v>2</v>
      </c>
      <c r="B40" s="531" t="s">
        <v>537</v>
      </c>
      <c r="C40" s="563"/>
      <c r="E40" s="551"/>
      <c r="F40" s="563"/>
    </row>
    <row r="41" spans="1:8" x14ac:dyDescent="0.25">
      <c r="A41" s="564">
        <v>3</v>
      </c>
      <c r="B41" s="531" t="s">
        <v>538</v>
      </c>
      <c r="C41" s="551"/>
      <c r="F41" s="551"/>
    </row>
    <row r="42" spans="1:8" x14ac:dyDescent="0.25">
      <c r="A42" s="564">
        <v>4</v>
      </c>
      <c r="B42" s="531" t="s">
        <v>539</v>
      </c>
      <c r="C42" s="551"/>
      <c r="D42" s="565"/>
      <c r="E42" s="551"/>
      <c r="F42" s="551"/>
    </row>
    <row r="43" spans="1:8" x14ac:dyDescent="0.25">
      <c r="A43" s="564"/>
      <c r="B43" s="531"/>
      <c r="C43" s="551"/>
      <c r="D43" s="565"/>
      <c r="E43" s="551"/>
      <c r="F43" s="551"/>
    </row>
    <row r="44" spans="1:8" x14ac:dyDescent="0.25">
      <c r="A44" s="564"/>
      <c r="B44" s="73"/>
      <c r="C44" s="551"/>
      <c r="D44" s="565"/>
      <c r="E44" s="551"/>
      <c r="F44" s="551"/>
    </row>
    <row r="45" spans="1:8" x14ac:dyDescent="0.25">
      <c r="A45" s="564"/>
      <c r="B45" s="531"/>
      <c r="C45" s="551"/>
      <c r="D45" s="566"/>
      <c r="F45" s="551"/>
    </row>
    <row r="46" spans="1:8" x14ac:dyDescent="0.25">
      <c r="A46" s="564"/>
      <c r="B46" s="73"/>
      <c r="D46" s="566"/>
      <c r="E46" s="551"/>
    </row>
    <row r="47" spans="1:8" x14ac:dyDescent="0.25">
      <c r="A47" s="564"/>
      <c r="B47" s="73"/>
      <c r="D47" s="565"/>
      <c r="E47" s="551"/>
    </row>
    <row r="48" spans="1:8" x14ac:dyDescent="0.25">
      <c r="A48" s="564"/>
      <c r="B48" s="73"/>
      <c r="D48" s="566"/>
    </row>
    <row r="49" spans="1:4" x14ac:dyDescent="0.25">
      <c r="A49" s="564"/>
      <c r="B49" s="73"/>
      <c r="D49" s="566"/>
    </row>
    <row r="50" spans="1:4" x14ac:dyDescent="0.25">
      <c r="A50" s="564"/>
      <c r="B50" s="73"/>
      <c r="D50" s="566"/>
    </row>
    <row r="51" spans="1:4" x14ac:dyDescent="0.25">
      <c r="A51" s="564"/>
      <c r="B51" s="73"/>
      <c r="D51" s="566"/>
    </row>
    <row r="52" spans="1:4" x14ac:dyDescent="0.25">
      <c r="A52" s="564"/>
      <c r="B52" s="73"/>
      <c r="D52" s="566"/>
    </row>
    <row r="53" spans="1:4" x14ac:dyDescent="0.25">
      <c r="A53" s="567"/>
      <c r="B53" s="73"/>
      <c r="D53" s="566"/>
    </row>
    <row r="54" spans="1:4" x14ac:dyDescent="0.25">
      <c r="D54" s="566"/>
    </row>
    <row r="55" spans="1:4" x14ac:dyDescent="0.25">
      <c r="D55" s="566"/>
    </row>
    <row r="56" spans="1:4" x14ac:dyDescent="0.25">
      <c r="D56" s="566"/>
    </row>
    <row r="57" spans="1:4" x14ac:dyDescent="0.25">
      <c r="D57" s="566"/>
    </row>
    <row r="58" spans="1:4" x14ac:dyDescent="0.25">
      <c r="D58" s="566"/>
    </row>
    <row r="59" spans="1:4" x14ac:dyDescent="0.25">
      <c r="D59" s="566"/>
    </row>
    <row r="60" spans="1:4" x14ac:dyDescent="0.25">
      <c r="D60" s="566"/>
    </row>
    <row r="61" spans="1:4" x14ac:dyDescent="0.25">
      <c r="D61" s="566"/>
    </row>
    <row r="62" spans="1:4" x14ac:dyDescent="0.25">
      <c r="D62" s="566"/>
    </row>
    <row r="63" spans="1:4" x14ac:dyDescent="0.25">
      <c r="D63" s="566"/>
    </row>
    <row r="64" spans="1:4" x14ac:dyDescent="0.25">
      <c r="D64" s="566"/>
    </row>
    <row r="65" spans="4:4" x14ac:dyDescent="0.25">
      <c r="D65" s="566"/>
    </row>
  </sheetData>
  <mergeCells count="1">
    <mergeCell ref="C1:F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BAF6F-FE4E-4A31-A388-54BFF35A6435}">
  <dimension ref="A1:H65"/>
  <sheetViews>
    <sheetView workbookViewId="0">
      <selection activeCell="B8" sqref="B8"/>
    </sheetView>
  </sheetViews>
  <sheetFormatPr defaultColWidth="39.7109375" defaultRowHeight="15" x14ac:dyDescent="0.25"/>
  <cols>
    <col min="1" max="1" width="17.85546875" customWidth="1"/>
    <col min="2" max="2" width="89.7109375" customWidth="1"/>
    <col min="3" max="6" width="14" bestFit="1" customWidth="1"/>
    <col min="7" max="7" width="12.42578125" customWidth="1"/>
  </cols>
  <sheetData>
    <row r="1" spans="1:7" ht="15.75" thickBot="1" x14ac:dyDescent="0.3">
      <c r="A1" s="551"/>
      <c r="B1" s="552"/>
      <c r="C1" s="715" t="s">
        <v>505</v>
      </c>
      <c r="D1" s="716"/>
      <c r="E1" s="716"/>
      <c r="F1" s="716"/>
    </row>
    <row r="2" spans="1:7" ht="41.25" customHeight="1" thickBot="1" x14ac:dyDescent="0.3">
      <c r="A2" s="553" t="s">
        <v>309</v>
      </c>
      <c r="B2" s="554" t="s">
        <v>553</v>
      </c>
      <c r="C2" s="555" t="s">
        <v>171</v>
      </c>
      <c r="D2" s="555" t="s">
        <v>172</v>
      </c>
      <c r="E2" s="555" t="s">
        <v>173</v>
      </c>
      <c r="F2" s="555" t="s">
        <v>310</v>
      </c>
    </row>
    <row r="3" spans="1:7" ht="15.75" thickBot="1" x14ac:dyDescent="0.3">
      <c r="A3" s="556" t="s">
        <v>127</v>
      </c>
      <c r="B3" s="557"/>
      <c r="C3" s="558"/>
      <c r="D3" s="558"/>
      <c r="E3" s="558"/>
      <c r="F3" s="558"/>
    </row>
    <row r="4" spans="1:7" ht="15.75" thickBot="1" x14ac:dyDescent="0.3">
      <c r="A4" s="556" t="s">
        <v>174</v>
      </c>
      <c r="B4" s="557"/>
      <c r="C4" s="559"/>
      <c r="D4" s="559"/>
      <c r="E4" s="559"/>
      <c r="F4" s="559"/>
      <c r="G4" s="208"/>
    </row>
    <row r="5" spans="1:7" ht="15.75" thickBot="1" x14ac:dyDescent="0.3">
      <c r="A5" s="556" t="s">
        <v>314</v>
      </c>
      <c r="B5" s="557"/>
      <c r="C5" s="559"/>
      <c r="D5" s="559"/>
      <c r="E5" s="559"/>
      <c r="F5" s="559"/>
      <c r="G5" s="208"/>
    </row>
    <row r="6" spans="1:7" ht="15.75" thickBot="1" x14ac:dyDescent="0.3">
      <c r="A6" s="560" t="s">
        <v>175</v>
      </c>
      <c r="B6" s="575" t="s">
        <v>573</v>
      </c>
      <c r="C6" s="559">
        <v>29</v>
      </c>
      <c r="D6" s="559">
        <v>1</v>
      </c>
      <c r="E6" s="559">
        <v>33</v>
      </c>
      <c r="F6" s="559">
        <v>30</v>
      </c>
      <c r="G6" s="208">
        <f t="shared" ref="G6:G35" si="0">SUM(C6:F6)</f>
        <v>93</v>
      </c>
    </row>
    <row r="7" spans="1:7" ht="15.75" thickBot="1" x14ac:dyDescent="0.3">
      <c r="A7" s="560" t="s">
        <v>176</v>
      </c>
      <c r="B7" s="575" t="s">
        <v>574</v>
      </c>
      <c r="C7" s="559">
        <v>31</v>
      </c>
      <c r="D7" s="559">
        <v>2</v>
      </c>
      <c r="E7" s="559">
        <v>32</v>
      </c>
      <c r="F7" s="559">
        <v>29</v>
      </c>
      <c r="G7" s="208">
        <f t="shared" si="0"/>
        <v>94</v>
      </c>
    </row>
    <row r="8" spans="1:7" ht="15.75" thickBot="1" x14ac:dyDescent="0.3">
      <c r="A8" s="560" t="s">
        <v>177</v>
      </c>
      <c r="B8" s="575" t="s">
        <v>575</v>
      </c>
      <c r="C8" s="559">
        <v>31</v>
      </c>
      <c r="D8" s="559">
        <v>1</v>
      </c>
      <c r="E8" s="559">
        <v>25</v>
      </c>
      <c r="F8" s="559">
        <v>27</v>
      </c>
      <c r="G8" s="208">
        <f t="shared" si="0"/>
        <v>84</v>
      </c>
    </row>
    <row r="9" spans="1:7" ht="15.75" thickBot="1" x14ac:dyDescent="0.3">
      <c r="A9" s="560" t="s">
        <v>178</v>
      </c>
      <c r="B9" s="575" t="s">
        <v>576</v>
      </c>
      <c r="C9" s="559">
        <v>29</v>
      </c>
      <c r="D9" s="559">
        <v>1</v>
      </c>
      <c r="E9" s="559">
        <v>29</v>
      </c>
      <c r="F9" s="559">
        <v>30</v>
      </c>
      <c r="G9" s="208">
        <f t="shared" si="0"/>
        <v>89</v>
      </c>
    </row>
    <row r="10" spans="1:7" ht="15.75" thickBot="1" x14ac:dyDescent="0.3">
      <c r="A10" s="560" t="s">
        <v>179</v>
      </c>
      <c r="B10" s="575" t="s">
        <v>577</v>
      </c>
      <c r="C10" s="559">
        <v>29</v>
      </c>
      <c r="D10" s="559">
        <v>1</v>
      </c>
      <c r="E10" s="559">
        <v>29</v>
      </c>
      <c r="F10" s="559">
        <v>33</v>
      </c>
      <c r="G10" s="208">
        <f t="shared" si="0"/>
        <v>92</v>
      </c>
    </row>
    <row r="11" spans="1:7" ht="15.75" thickBot="1" x14ac:dyDescent="0.3">
      <c r="A11" s="560" t="s">
        <v>180</v>
      </c>
      <c r="B11" s="575" t="s">
        <v>578</v>
      </c>
      <c r="C11" s="559">
        <v>31</v>
      </c>
      <c r="D11" s="559">
        <v>1</v>
      </c>
      <c r="E11" s="559">
        <v>29</v>
      </c>
      <c r="F11" s="559">
        <v>27</v>
      </c>
      <c r="G11" s="208">
        <f t="shared" si="0"/>
        <v>88</v>
      </c>
    </row>
    <row r="12" spans="1:7" ht="15.75" thickBot="1" x14ac:dyDescent="0.3">
      <c r="A12" s="560" t="s">
        <v>181</v>
      </c>
      <c r="B12" s="575" t="s">
        <v>579</v>
      </c>
      <c r="C12" s="559">
        <v>29</v>
      </c>
      <c r="D12" s="559">
        <v>1</v>
      </c>
      <c r="E12" s="559">
        <v>28</v>
      </c>
      <c r="F12" s="559">
        <v>30</v>
      </c>
      <c r="G12" s="208">
        <f t="shared" si="0"/>
        <v>88</v>
      </c>
    </row>
    <row r="13" spans="1:7" ht="15.75" thickBot="1" x14ac:dyDescent="0.3">
      <c r="A13" s="560" t="s">
        <v>182</v>
      </c>
      <c r="B13" s="575" t="s">
        <v>580</v>
      </c>
      <c r="C13" s="559">
        <v>30</v>
      </c>
      <c r="D13" s="559">
        <v>1</v>
      </c>
      <c r="E13" s="559">
        <v>29</v>
      </c>
      <c r="F13" s="559">
        <v>27</v>
      </c>
      <c r="G13" s="208">
        <f t="shared" si="0"/>
        <v>87</v>
      </c>
    </row>
    <row r="14" spans="1:7" ht="15.75" thickBot="1" x14ac:dyDescent="0.3">
      <c r="A14" s="560" t="s">
        <v>183</v>
      </c>
      <c r="B14" s="575" t="s">
        <v>581</v>
      </c>
      <c r="C14" s="559">
        <v>28</v>
      </c>
      <c r="D14" s="559">
        <v>5</v>
      </c>
      <c r="E14" s="559">
        <v>33</v>
      </c>
      <c r="F14" s="559">
        <v>30</v>
      </c>
      <c r="G14" s="208">
        <f t="shared" si="0"/>
        <v>96</v>
      </c>
    </row>
    <row r="15" spans="1:7" ht="15.75" thickBot="1" x14ac:dyDescent="0.3">
      <c r="A15" s="560" t="s">
        <v>184</v>
      </c>
      <c r="B15" s="575" t="s">
        <v>582</v>
      </c>
      <c r="C15" s="559">
        <v>32</v>
      </c>
      <c r="D15" s="559">
        <v>1</v>
      </c>
      <c r="E15" s="559">
        <v>31</v>
      </c>
      <c r="F15" s="559">
        <v>29</v>
      </c>
      <c r="G15" s="208">
        <f t="shared" si="0"/>
        <v>93</v>
      </c>
    </row>
    <row r="16" spans="1:7" ht="15.75" thickBot="1" x14ac:dyDescent="0.3">
      <c r="A16" s="560" t="s">
        <v>185</v>
      </c>
      <c r="B16" s="575" t="s">
        <v>583</v>
      </c>
      <c r="C16" s="559">
        <v>30</v>
      </c>
      <c r="D16" s="559">
        <v>1</v>
      </c>
      <c r="E16" s="559">
        <v>29</v>
      </c>
      <c r="F16" s="559">
        <v>30</v>
      </c>
      <c r="G16" s="208">
        <f t="shared" si="0"/>
        <v>90</v>
      </c>
    </row>
    <row r="17" spans="1:7" ht="15.75" thickBot="1" x14ac:dyDescent="0.3">
      <c r="A17" s="560" t="s">
        <v>186</v>
      </c>
      <c r="B17" s="575" t="s">
        <v>584</v>
      </c>
      <c r="C17" s="559">
        <v>29</v>
      </c>
      <c r="D17" s="559">
        <v>1</v>
      </c>
      <c r="E17" s="559">
        <v>25</v>
      </c>
      <c r="F17" s="559">
        <v>30</v>
      </c>
      <c r="G17" s="208">
        <f t="shared" si="0"/>
        <v>85</v>
      </c>
    </row>
    <row r="18" spans="1:7" ht="15.75" thickBot="1" x14ac:dyDescent="0.3">
      <c r="A18" s="560" t="s">
        <v>187</v>
      </c>
      <c r="B18" s="575" t="s">
        <v>585</v>
      </c>
      <c r="C18" s="559">
        <v>29</v>
      </c>
      <c r="D18" s="559">
        <v>1</v>
      </c>
      <c r="E18" s="559">
        <v>32</v>
      </c>
      <c r="F18" s="559">
        <v>29</v>
      </c>
      <c r="G18" s="208">
        <f t="shared" si="0"/>
        <v>91</v>
      </c>
    </row>
    <row r="19" spans="1:7" ht="15.75" thickBot="1" x14ac:dyDescent="0.3">
      <c r="A19" s="560" t="s">
        <v>188</v>
      </c>
      <c r="B19" s="575" t="s">
        <v>586</v>
      </c>
      <c r="C19" s="559">
        <v>30</v>
      </c>
      <c r="D19" s="559">
        <v>3</v>
      </c>
      <c r="E19" s="559">
        <v>29</v>
      </c>
      <c r="F19" s="559">
        <v>31</v>
      </c>
      <c r="G19" s="208">
        <f t="shared" si="0"/>
        <v>93</v>
      </c>
    </row>
    <row r="20" spans="1:7" ht="15.75" thickBot="1" x14ac:dyDescent="0.3">
      <c r="A20" s="560" t="s">
        <v>189</v>
      </c>
      <c r="B20" s="575" t="s">
        <v>587</v>
      </c>
      <c r="C20" s="559">
        <v>29</v>
      </c>
      <c r="D20" s="559">
        <v>1</v>
      </c>
      <c r="E20" s="559">
        <v>29</v>
      </c>
      <c r="F20" s="559">
        <v>33</v>
      </c>
      <c r="G20" s="208">
        <f t="shared" si="0"/>
        <v>92</v>
      </c>
    </row>
    <row r="21" spans="1:7" ht="15.75" thickBot="1" x14ac:dyDescent="0.3">
      <c r="A21" s="560" t="s">
        <v>190</v>
      </c>
      <c r="B21" s="575" t="s">
        <v>588</v>
      </c>
      <c r="C21" s="559">
        <v>28</v>
      </c>
      <c r="D21" s="559">
        <v>1</v>
      </c>
      <c r="E21" s="559">
        <v>29</v>
      </c>
      <c r="F21" s="559">
        <v>30</v>
      </c>
      <c r="G21" s="208">
        <f t="shared" si="0"/>
        <v>88</v>
      </c>
    </row>
    <row r="22" spans="1:7" ht="15.75" thickBot="1" x14ac:dyDescent="0.3">
      <c r="A22" s="560" t="s">
        <v>191</v>
      </c>
      <c r="B22" s="575" t="s">
        <v>589</v>
      </c>
      <c r="C22" s="559">
        <v>29</v>
      </c>
      <c r="D22" s="559">
        <v>1</v>
      </c>
      <c r="E22" s="559">
        <v>25</v>
      </c>
      <c r="F22" s="559">
        <v>33</v>
      </c>
      <c r="G22" s="208">
        <f t="shared" si="0"/>
        <v>88</v>
      </c>
    </row>
    <row r="23" spans="1:7" ht="15.75" thickBot="1" x14ac:dyDescent="0.3">
      <c r="A23" s="560" t="s">
        <v>192</v>
      </c>
      <c r="B23" s="575" t="s">
        <v>590</v>
      </c>
      <c r="C23" s="559">
        <v>32</v>
      </c>
      <c r="D23" s="559">
        <v>1</v>
      </c>
      <c r="E23" s="559">
        <v>29</v>
      </c>
      <c r="F23" s="559">
        <v>29</v>
      </c>
      <c r="G23" s="208">
        <f t="shared" si="0"/>
        <v>91</v>
      </c>
    </row>
    <row r="24" spans="1:7" ht="15.75" thickBot="1" x14ac:dyDescent="0.3">
      <c r="A24" s="560" t="s">
        <v>193</v>
      </c>
      <c r="B24" s="575" t="s">
        <v>591</v>
      </c>
      <c r="C24" s="559">
        <v>29</v>
      </c>
      <c r="D24" s="559">
        <v>1</v>
      </c>
      <c r="E24" s="559">
        <v>29</v>
      </c>
      <c r="F24" s="559">
        <v>30</v>
      </c>
      <c r="G24" s="208">
        <f t="shared" si="0"/>
        <v>89</v>
      </c>
    </row>
    <row r="25" spans="1:7" ht="15.75" thickBot="1" x14ac:dyDescent="0.3">
      <c r="A25" s="560" t="s">
        <v>194</v>
      </c>
      <c r="B25" s="575" t="s">
        <v>592</v>
      </c>
      <c r="C25" s="559">
        <v>32</v>
      </c>
      <c r="D25" s="559">
        <v>4</v>
      </c>
      <c r="E25" s="559">
        <v>34</v>
      </c>
      <c r="F25" s="559">
        <v>30</v>
      </c>
      <c r="G25" s="208">
        <f t="shared" si="0"/>
        <v>100</v>
      </c>
    </row>
    <row r="26" spans="1:7" ht="15.75" thickBot="1" x14ac:dyDescent="0.3">
      <c r="A26" s="560" t="s">
        <v>195</v>
      </c>
      <c r="B26" s="575" t="s">
        <v>593</v>
      </c>
      <c r="C26" s="559">
        <v>29</v>
      </c>
      <c r="D26" s="559">
        <v>1</v>
      </c>
      <c r="E26" s="559">
        <v>28</v>
      </c>
      <c r="F26" s="559">
        <v>30</v>
      </c>
      <c r="G26" s="208">
        <f t="shared" si="0"/>
        <v>88</v>
      </c>
    </row>
    <row r="27" spans="1:7" ht="15.75" thickBot="1" x14ac:dyDescent="0.3">
      <c r="A27" s="560" t="s">
        <v>196</v>
      </c>
      <c r="B27" s="575" t="s">
        <v>594</v>
      </c>
      <c r="C27" s="559">
        <v>30</v>
      </c>
      <c r="D27" s="559">
        <v>1</v>
      </c>
      <c r="E27" s="559">
        <v>29</v>
      </c>
      <c r="F27" s="559">
        <v>30</v>
      </c>
      <c r="G27" s="208">
        <f t="shared" si="0"/>
        <v>90</v>
      </c>
    </row>
    <row r="28" spans="1:7" ht="15.75" thickBot="1" x14ac:dyDescent="0.3">
      <c r="A28" s="560" t="s">
        <v>197</v>
      </c>
      <c r="B28" s="575" t="s">
        <v>595</v>
      </c>
      <c r="C28" s="559">
        <v>28</v>
      </c>
      <c r="D28" s="559">
        <v>1</v>
      </c>
      <c r="E28" s="559">
        <v>33</v>
      </c>
      <c r="F28" s="559">
        <v>30</v>
      </c>
      <c r="G28" s="208">
        <f t="shared" si="0"/>
        <v>92</v>
      </c>
    </row>
    <row r="29" spans="1:7" ht="15.75" thickBot="1" x14ac:dyDescent="0.3">
      <c r="A29" s="560" t="s">
        <v>198</v>
      </c>
      <c r="B29" s="575" t="s">
        <v>596</v>
      </c>
      <c r="C29" s="559">
        <v>29</v>
      </c>
      <c r="D29" s="559">
        <v>1</v>
      </c>
      <c r="E29" s="559">
        <v>29</v>
      </c>
      <c r="F29" s="559">
        <v>29</v>
      </c>
      <c r="G29" s="208">
        <f t="shared" si="0"/>
        <v>88</v>
      </c>
    </row>
    <row r="30" spans="1:7" ht="15.75" thickBot="1" x14ac:dyDescent="0.3">
      <c r="A30" s="560" t="s">
        <v>199</v>
      </c>
      <c r="B30" s="575" t="s">
        <v>597</v>
      </c>
      <c r="C30" s="559">
        <v>28</v>
      </c>
      <c r="D30" s="559">
        <v>2</v>
      </c>
      <c r="E30" s="559">
        <v>25</v>
      </c>
      <c r="F30" s="559">
        <v>33</v>
      </c>
      <c r="G30" s="208">
        <f t="shared" si="0"/>
        <v>88</v>
      </c>
    </row>
    <row r="31" spans="1:7" ht="15.75" thickBot="1" x14ac:dyDescent="0.3">
      <c r="A31" s="560" t="s">
        <v>200</v>
      </c>
      <c r="B31" s="575" t="s">
        <v>598</v>
      </c>
      <c r="C31" s="559">
        <v>27</v>
      </c>
      <c r="D31" s="559">
        <v>2</v>
      </c>
      <c r="E31" s="559">
        <v>32</v>
      </c>
      <c r="F31" s="559">
        <v>30</v>
      </c>
      <c r="G31" s="208">
        <f t="shared" si="0"/>
        <v>91</v>
      </c>
    </row>
    <row r="32" spans="1:7" ht="15.75" thickBot="1" x14ac:dyDescent="0.3">
      <c r="A32" s="560" t="s">
        <v>201</v>
      </c>
      <c r="B32" s="575" t="s">
        <v>599</v>
      </c>
      <c r="C32" s="559">
        <v>29</v>
      </c>
      <c r="D32" s="559">
        <v>1</v>
      </c>
      <c r="E32" s="559">
        <v>33</v>
      </c>
      <c r="F32" s="559">
        <v>34</v>
      </c>
      <c r="G32" s="208">
        <f t="shared" si="0"/>
        <v>97</v>
      </c>
    </row>
    <row r="33" spans="1:8" ht="15.75" thickBot="1" x14ac:dyDescent="0.3">
      <c r="A33" s="560" t="s">
        <v>202</v>
      </c>
      <c r="B33" s="575" t="s">
        <v>600</v>
      </c>
      <c r="C33" s="559">
        <v>28</v>
      </c>
      <c r="D33" s="559">
        <v>1</v>
      </c>
      <c r="E33" s="559">
        <v>29</v>
      </c>
      <c r="F33" s="559">
        <v>35</v>
      </c>
      <c r="G33" s="208">
        <f t="shared" si="0"/>
        <v>93</v>
      </c>
    </row>
    <row r="34" spans="1:8" ht="15.75" thickBot="1" x14ac:dyDescent="0.3">
      <c r="A34" s="560" t="s">
        <v>203</v>
      </c>
      <c r="B34" s="575" t="s">
        <v>601</v>
      </c>
      <c r="C34" s="559">
        <v>29</v>
      </c>
      <c r="D34" s="559">
        <v>2</v>
      </c>
      <c r="E34" s="559">
        <v>25</v>
      </c>
      <c r="F34" s="559">
        <v>35</v>
      </c>
      <c r="G34" s="208">
        <f t="shared" si="0"/>
        <v>91</v>
      </c>
    </row>
    <row r="35" spans="1:8" ht="15.75" thickBot="1" x14ac:dyDescent="0.3">
      <c r="A35" s="560" t="s">
        <v>204</v>
      </c>
      <c r="B35" s="575" t="s">
        <v>602</v>
      </c>
      <c r="C35" s="559">
        <v>31</v>
      </c>
      <c r="D35" s="559">
        <v>1</v>
      </c>
      <c r="E35" s="559">
        <v>32</v>
      </c>
      <c r="F35" s="559">
        <v>31</v>
      </c>
      <c r="G35" s="208">
        <f t="shared" si="0"/>
        <v>95</v>
      </c>
    </row>
    <row r="36" spans="1:8" x14ac:dyDescent="0.25">
      <c r="C36" s="487">
        <f>AVERAGE(C5:C35)</f>
        <v>29.466666666666665</v>
      </c>
      <c r="D36" s="487">
        <f t="shared" ref="D36:G36" si="1">AVERAGE(D5:D35)</f>
        <v>1.4333333333333333</v>
      </c>
      <c r="E36" s="487">
        <f t="shared" si="1"/>
        <v>29.433333333333334</v>
      </c>
      <c r="F36" s="487">
        <f t="shared" si="1"/>
        <v>30.466666666666665</v>
      </c>
      <c r="G36" s="488">
        <f t="shared" si="1"/>
        <v>90.8</v>
      </c>
      <c r="H36" t="s">
        <v>317</v>
      </c>
    </row>
    <row r="37" spans="1:8" x14ac:dyDescent="0.25">
      <c r="A37" s="551"/>
      <c r="C37" s="489">
        <f>C36-4</f>
        <v>25.466666666666665</v>
      </c>
      <c r="D37" s="489">
        <f>D36-1</f>
        <v>0.43333333333333335</v>
      </c>
      <c r="E37" s="489">
        <f>E36-4</f>
        <v>25.433333333333334</v>
      </c>
      <c r="F37" s="489">
        <f>F36-30</f>
        <v>0.46666666666666501</v>
      </c>
      <c r="G37" s="489">
        <f>SUM(C37:F37)</f>
        <v>51.8</v>
      </c>
      <c r="H37" t="s">
        <v>316</v>
      </c>
    </row>
    <row r="38" spans="1:8" ht="15.75" x14ac:dyDescent="0.25">
      <c r="A38" s="561" t="s">
        <v>439</v>
      </c>
      <c r="B38" s="562" t="s">
        <v>315</v>
      </c>
      <c r="C38" s="563"/>
      <c r="D38" s="563"/>
      <c r="E38" s="563"/>
      <c r="F38" s="563"/>
    </row>
    <row r="39" spans="1:8" ht="15.75" x14ac:dyDescent="0.25">
      <c r="A39" s="564">
        <v>1</v>
      </c>
      <c r="B39" s="531" t="s">
        <v>554</v>
      </c>
      <c r="C39" s="563"/>
      <c r="D39" s="563"/>
      <c r="E39" s="563"/>
      <c r="F39" s="563"/>
    </row>
    <row r="40" spans="1:8" ht="15.75" x14ac:dyDescent="0.25">
      <c r="A40" s="564">
        <v>2</v>
      </c>
      <c r="B40" s="531" t="s">
        <v>555</v>
      </c>
      <c r="C40" s="563"/>
      <c r="E40" s="551"/>
      <c r="F40" s="563"/>
    </row>
    <row r="41" spans="1:8" x14ac:dyDescent="0.25">
      <c r="A41" s="564">
        <v>3</v>
      </c>
      <c r="B41" s="531" t="s">
        <v>538</v>
      </c>
      <c r="C41" s="551"/>
      <c r="F41" s="551"/>
    </row>
    <row r="42" spans="1:8" x14ac:dyDescent="0.25">
      <c r="A42" s="564">
        <v>4</v>
      </c>
      <c r="B42" s="531" t="s">
        <v>539</v>
      </c>
      <c r="C42" s="551"/>
      <c r="D42" s="565"/>
      <c r="E42" s="551"/>
      <c r="F42" s="551"/>
    </row>
    <row r="43" spans="1:8" x14ac:dyDescent="0.25">
      <c r="A43" s="564"/>
      <c r="B43" s="531"/>
      <c r="C43" s="551"/>
      <c r="D43" s="565"/>
      <c r="E43" s="551"/>
      <c r="F43" s="551"/>
    </row>
    <row r="44" spans="1:8" x14ac:dyDescent="0.25">
      <c r="A44" s="564"/>
      <c r="B44" s="73"/>
      <c r="C44" s="551"/>
      <c r="D44" s="565"/>
      <c r="E44" s="551"/>
      <c r="F44" s="551"/>
    </row>
    <row r="45" spans="1:8" x14ac:dyDescent="0.25">
      <c r="A45" s="564"/>
      <c r="B45" s="531"/>
      <c r="C45" s="551"/>
      <c r="D45" s="566"/>
      <c r="F45" s="551"/>
    </row>
    <row r="46" spans="1:8" x14ac:dyDescent="0.25">
      <c r="A46" s="564"/>
      <c r="B46" s="73"/>
      <c r="D46" s="566"/>
      <c r="E46" s="551"/>
    </row>
    <row r="47" spans="1:8" x14ac:dyDescent="0.25">
      <c r="A47" s="564"/>
      <c r="B47" s="73"/>
      <c r="D47" s="565"/>
      <c r="E47" s="551"/>
    </row>
    <row r="48" spans="1:8" x14ac:dyDescent="0.25">
      <c r="A48" s="564"/>
      <c r="B48" s="73"/>
      <c r="D48" s="566"/>
    </row>
    <row r="49" spans="1:4" x14ac:dyDescent="0.25">
      <c r="A49" s="564"/>
      <c r="B49" s="73"/>
      <c r="D49" s="566"/>
    </row>
    <row r="50" spans="1:4" x14ac:dyDescent="0.25">
      <c r="A50" s="564"/>
      <c r="B50" s="73"/>
      <c r="D50" s="566"/>
    </row>
    <row r="51" spans="1:4" x14ac:dyDescent="0.25">
      <c r="A51" s="564"/>
      <c r="B51" s="73"/>
      <c r="D51" s="566"/>
    </row>
    <row r="52" spans="1:4" x14ac:dyDescent="0.25">
      <c r="A52" s="564"/>
      <c r="B52" s="73"/>
      <c r="D52" s="566"/>
    </row>
    <row r="53" spans="1:4" x14ac:dyDescent="0.25">
      <c r="A53" s="567"/>
      <c r="B53" s="73"/>
      <c r="D53" s="566"/>
    </row>
    <row r="54" spans="1:4" x14ac:dyDescent="0.25">
      <c r="D54" s="566"/>
    </row>
    <row r="55" spans="1:4" x14ac:dyDescent="0.25">
      <c r="D55" s="566"/>
    </row>
    <row r="56" spans="1:4" x14ac:dyDescent="0.25">
      <c r="D56" s="566"/>
    </row>
    <row r="57" spans="1:4" x14ac:dyDescent="0.25">
      <c r="D57" s="566"/>
    </row>
    <row r="58" spans="1:4" x14ac:dyDescent="0.25">
      <c r="D58" s="566"/>
    </row>
    <row r="59" spans="1:4" x14ac:dyDescent="0.25">
      <c r="D59" s="566"/>
    </row>
    <row r="60" spans="1:4" x14ac:dyDescent="0.25">
      <c r="D60" s="566"/>
    </row>
    <row r="61" spans="1:4" x14ac:dyDescent="0.25">
      <c r="D61" s="566"/>
    </row>
    <row r="62" spans="1:4" x14ac:dyDescent="0.25">
      <c r="D62" s="566"/>
    </row>
    <row r="63" spans="1:4" x14ac:dyDescent="0.25">
      <c r="D63" s="566"/>
    </row>
    <row r="64" spans="1:4" x14ac:dyDescent="0.25">
      <c r="D64" s="566"/>
    </row>
    <row r="65" spans="4:4" x14ac:dyDescent="0.25">
      <c r="D65" s="566"/>
    </row>
  </sheetData>
  <mergeCells count="1">
    <mergeCell ref="C1:F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84FCC-4701-4872-9748-FC88D8791609}">
  <dimension ref="A1:F51"/>
  <sheetViews>
    <sheetView topLeftCell="A49" workbookViewId="0">
      <selection activeCell="B7" sqref="B7"/>
    </sheetView>
  </sheetViews>
  <sheetFormatPr defaultColWidth="8.85546875" defaultRowHeight="15" x14ac:dyDescent="0.25"/>
  <cols>
    <col min="1" max="1" width="70.42578125" style="550" customWidth="1"/>
    <col min="2" max="2" width="53.42578125" style="73" customWidth="1"/>
    <col min="3" max="3" width="17.5703125" style="73" customWidth="1"/>
    <col min="4" max="4" width="19.85546875" customWidth="1"/>
    <col min="5" max="5" width="16.140625" customWidth="1"/>
    <col min="6" max="6" width="70.28515625" style="348" customWidth="1"/>
  </cols>
  <sheetData>
    <row r="1" spans="1:6" ht="45" x14ac:dyDescent="0.25">
      <c r="A1" s="517" t="s">
        <v>453</v>
      </c>
      <c r="B1" s="534" t="s">
        <v>455</v>
      </c>
      <c r="C1" s="534" t="s">
        <v>456</v>
      </c>
      <c r="D1" s="534" t="s">
        <v>457</v>
      </c>
      <c r="E1" s="535" t="s">
        <v>458</v>
      </c>
      <c r="F1" s="536" t="s">
        <v>459</v>
      </c>
    </row>
    <row r="2" spans="1:6" x14ac:dyDescent="0.25">
      <c r="A2" s="537" t="s">
        <v>460</v>
      </c>
      <c r="B2" s="254"/>
      <c r="C2" s="254"/>
      <c r="D2" s="538"/>
      <c r="E2" s="539"/>
      <c r="F2" s="540"/>
    </row>
    <row r="3" spans="1:6" x14ac:dyDescent="0.25">
      <c r="A3" s="541" t="s">
        <v>461</v>
      </c>
      <c r="D3" s="538"/>
      <c r="E3" s="539"/>
      <c r="F3" s="540"/>
    </row>
    <row r="4" spans="1:6" x14ac:dyDescent="0.25">
      <c r="A4" s="542"/>
      <c r="B4" s="73" t="s">
        <v>462</v>
      </c>
      <c r="D4" s="538"/>
      <c r="E4" s="539"/>
      <c r="F4" s="540" t="s">
        <v>463</v>
      </c>
    </row>
    <row r="5" spans="1:6" x14ac:dyDescent="0.25">
      <c r="A5" s="542"/>
      <c r="B5" s="73" t="s">
        <v>464</v>
      </c>
      <c r="D5" s="538">
        <v>0.16666666666666666</v>
      </c>
      <c r="E5" s="539">
        <v>0</v>
      </c>
      <c r="F5" s="540" t="s">
        <v>465</v>
      </c>
    </row>
    <row r="6" spans="1:6" ht="30" x14ac:dyDescent="0.25">
      <c r="A6" s="542"/>
      <c r="B6" s="73" t="s">
        <v>466</v>
      </c>
      <c r="D6" s="538">
        <v>0.33333333333333331</v>
      </c>
      <c r="E6" s="539">
        <v>0</v>
      </c>
      <c r="F6" s="540" t="s">
        <v>463</v>
      </c>
    </row>
    <row r="7" spans="1:6" ht="60" x14ac:dyDescent="0.25">
      <c r="A7" s="542"/>
      <c r="B7" s="73" t="s">
        <v>467</v>
      </c>
      <c r="C7" s="73">
        <v>0.06</v>
      </c>
      <c r="D7" s="538"/>
      <c r="E7" s="539"/>
      <c r="F7" s="540" t="s">
        <v>463</v>
      </c>
    </row>
    <row r="8" spans="1:6" x14ac:dyDescent="0.25">
      <c r="A8" s="541" t="s">
        <v>468</v>
      </c>
      <c r="B8" s="531"/>
      <c r="C8" s="531"/>
      <c r="D8" s="538"/>
      <c r="E8" s="539"/>
      <c r="F8" s="540" t="s">
        <v>463</v>
      </c>
    </row>
    <row r="9" spans="1:6" x14ac:dyDescent="0.25">
      <c r="A9" s="543"/>
      <c r="B9" s="73" t="s">
        <v>469</v>
      </c>
      <c r="D9" s="538"/>
      <c r="E9" s="539"/>
      <c r="F9" s="540" t="s">
        <v>463</v>
      </c>
    </row>
    <row r="10" spans="1:6" ht="27.4" customHeight="1" x14ac:dyDescent="0.25">
      <c r="A10" s="543"/>
      <c r="B10" s="73" t="s">
        <v>470</v>
      </c>
      <c r="D10" s="538"/>
      <c r="E10" s="539"/>
      <c r="F10" s="540" t="s">
        <v>463</v>
      </c>
    </row>
    <row r="11" spans="1:6" ht="27.4" customHeight="1" x14ac:dyDescent="0.25">
      <c r="A11" s="543"/>
      <c r="B11" s="73" t="s">
        <v>471</v>
      </c>
      <c r="D11" s="538"/>
      <c r="E11" s="539"/>
      <c r="F11" s="540" t="s">
        <v>463</v>
      </c>
    </row>
    <row r="12" spans="1:6" ht="27.4" customHeight="1" x14ac:dyDescent="0.25">
      <c r="A12" s="543"/>
      <c r="B12" s="73" t="s">
        <v>472</v>
      </c>
      <c r="D12" s="538">
        <v>0.16666666666666666</v>
      </c>
      <c r="E12" s="539">
        <v>0</v>
      </c>
      <c r="F12" s="540" t="s">
        <v>465</v>
      </c>
    </row>
    <row r="13" spans="1:6" ht="51.75" customHeight="1" x14ac:dyDescent="0.25">
      <c r="A13" s="543"/>
      <c r="B13" s="73" t="s">
        <v>473</v>
      </c>
      <c r="C13" s="73">
        <v>0.09</v>
      </c>
      <c r="D13" s="538"/>
      <c r="E13" s="539"/>
      <c r="F13" s="540" t="s">
        <v>463</v>
      </c>
    </row>
    <row r="14" spans="1:6" x14ac:dyDescent="0.25">
      <c r="A14" s="541" t="s">
        <v>474</v>
      </c>
      <c r="B14" s="531"/>
      <c r="C14" s="531"/>
      <c r="D14" s="538"/>
      <c r="E14" s="539"/>
      <c r="F14" s="540" t="s">
        <v>463</v>
      </c>
    </row>
    <row r="15" spans="1:6" ht="30" x14ac:dyDescent="0.25">
      <c r="A15" s="543"/>
      <c r="B15" s="73" t="s">
        <v>475</v>
      </c>
      <c r="D15" s="538"/>
      <c r="E15" s="539"/>
      <c r="F15" s="540" t="s">
        <v>463</v>
      </c>
    </row>
    <row r="16" spans="1:6" ht="30" x14ac:dyDescent="0.25">
      <c r="A16" s="543"/>
      <c r="B16" s="73" t="s">
        <v>476</v>
      </c>
      <c r="D16" s="538"/>
      <c r="E16" s="539"/>
      <c r="F16" s="540" t="s">
        <v>463</v>
      </c>
    </row>
    <row r="17" spans="1:6" x14ac:dyDescent="0.25">
      <c r="A17" s="543"/>
      <c r="B17" s="73" t="s">
        <v>469</v>
      </c>
      <c r="D17" s="538"/>
      <c r="E17" s="539"/>
      <c r="F17" s="540" t="s">
        <v>463</v>
      </c>
    </row>
    <row r="18" spans="1:6" x14ac:dyDescent="0.25">
      <c r="A18" s="543"/>
      <c r="B18" s="73" t="s">
        <v>477</v>
      </c>
      <c r="D18" s="538"/>
      <c r="E18" s="539"/>
      <c r="F18" s="540" t="s">
        <v>463</v>
      </c>
    </row>
    <row r="19" spans="1:6" x14ac:dyDescent="0.25">
      <c r="A19" s="543"/>
      <c r="B19" s="73" t="s">
        <v>478</v>
      </c>
      <c r="D19" s="538">
        <v>8.3333333333333329E-2</v>
      </c>
      <c r="E19" s="539">
        <v>0</v>
      </c>
      <c r="F19" s="540" t="s">
        <v>465</v>
      </c>
    </row>
    <row r="20" spans="1:6" ht="30" x14ac:dyDescent="0.25">
      <c r="A20" s="543"/>
      <c r="B20" s="73" t="s">
        <v>479</v>
      </c>
      <c r="D20" s="538">
        <v>8.3333333333333329E-2</v>
      </c>
      <c r="E20" s="539">
        <v>0</v>
      </c>
      <c r="F20" s="540" t="s">
        <v>465</v>
      </c>
    </row>
    <row r="21" spans="1:6" ht="60" x14ac:dyDescent="0.25">
      <c r="A21" s="543"/>
      <c r="B21" s="73" t="s">
        <v>480</v>
      </c>
      <c r="C21" s="73">
        <v>0.09</v>
      </c>
      <c r="D21" s="538"/>
      <c r="E21" s="539"/>
      <c r="F21" s="540" t="s">
        <v>463</v>
      </c>
    </row>
    <row r="22" spans="1:6" x14ac:dyDescent="0.25">
      <c r="A22" s="541" t="s">
        <v>481</v>
      </c>
      <c r="B22" s="254"/>
      <c r="C22" s="254"/>
      <c r="D22" s="538"/>
      <c r="E22" s="539"/>
      <c r="F22" s="540" t="s">
        <v>463</v>
      </c>
    </row>
    <row r="23" spans="1:6" x14ac:dyDescent="0.25">
      <c r="A23" s="543"/>
      <c r="B23" s="73" t="s">
        <v>482</v>
      </c>
      <c r="D23" s="538"/>
      <c r="E23" s="539"/>
      <c r="F23" s="540" t="s">
        <v>463</v>
      </c>
    </row>
    <row r="24" spans="1:6" ht="30" x14ac:dyDescent="0.25">
      <c r="A24" s="543"/>
      <c r="B24" s="73" t="s">
        <v>483</v>
      </c>
      <c r="D24" s="538">
        <v>8.3333333333333329E-2</v>
      </c>
      <c r="E24" s="539">
        <v>0</v>
      </c>
      <c r="F24" s="540" t="s">
        <v>465</v>
      </c>
    </row>
    <row r="25" spans="1:6" ht="30" x14ac:dyDescent="0.25">
      <c r="A25" s="543"/>
      <c r="B25" s="531" t="s">
        <v>484</v>
      </c>
      <c r="C25" s="531"/>
      <c r="D25" s="538">
        <v>8.3333333333333329E-2</v>
      </c>
      <c r="E25" s="539">
        <v>0</v>
      </c>
      <c r="F25" s="540" t="s">
        <v>465</v>
      </c>
    </row>
    <row r="26" spans="1:6" ht="60" x14ac:dyDescent="0.25">
      <c r="A26" s="543"/>
      <c r="B26" s="73" t="s">
        <v>485</v>
      </c>
      <c r="C26" s="531">
        <v>0.03</v>
      </c>
      <c r="D26" s="538"/>
      <c r="E26" s="539"/>
      <c r="F26" s="540" t="s">
        <v>463</v>
      </c>
    </row>
    <row r="27" spans="1:6" ht="90" x14ac:dyDescent="0.25">
      <c r="A27" s="543"/>
      <c r="B27" s="73" t="s">
        <v>486</v>
      </c>
      <c r="C27" s="531">
        <v>0.89</v>
      </c>
      <c r="D27" s="538"/>
      <c r="E27" s="539"/>
      <c r="F27" s="540" t="s">
        <v>463</v>
      </c>
    </row>
    <row r="28" spans="1:6" x14ac:dyDescent="0.25">
      <c r="A28" s="541" t="s">
        <v>487</v>
      </c>
      <c r="B28" s="544"/>
      <c r="C28" s="544"/>
      <c r="D28" s="538"/>
      <c r="E28" s="539"/>
      <c r="F28" s="540" t="s">
        <v>463</v>
      </c>
    </row>
    <row r="29" spans="1:6" ht="150" x14ac:dyDescent="0.25">
      <c r="A29" s="543"/>
      <c r="B29" s="73" t="s">
        <v>488</v>
      </c>
      <c r="D29" s="538"/>
      <c r="E29" s="539"/>
      <c r="F29" s="540" t="s">
        <v>463</v>
      </c>
    </row>
    <row r="30" spans="1:6" ht="30" x14ac:dyDescent="0.25">
      <c r="A30" s="542"/>
      <c r="B30" s="73" t="s">
        <v>489</v>
      </c>
      <c r="D30" s="538">
        <v>8.3333333333333329E-2</v>
      </c>
      <c r="E30" s="539">
        <v>0</v>
      </c>
      <c r="F30" s="540" t="s">
        <v>465</v>
      </c>
    </row>
    <row r="31" spans="1:6" ht="60" x14ac:dyDescent="0.25">
      <c r="A31" s="542"/>
      <c r="B31" s="73" t="s">
        <v>490</v>
      </c>
      <c r="C31" s="73">
        <v>0.03</v>
      </c>
      <c r="D31" s="538"/>
      <c r="E31" s="539"/>
      <c r="F31" s="540" t="s">
        <v>463</v>
      </c>
    </row>
    <row r="32" spans="1:6" x14ac:dyDescent="0.25">
      <c r="A32" s="541" t="s">
        <v>491</v>
      </c>
      <c r="B32" s="531"/>
      <c r="C32" s="531"/>
      <c r="D32" s="538"/>
      <c r="E32" s="539"/>
      <c r="F32" s="540" t="s">
        <v>463</v>
      </c>
    </row>
    <row r="33" spans="1:6" ht="105" x14ac:dyDescent="0.25">
      <c r="A33" s="543"/>
      <c r="B33" s="73" t="s">
        <v>492</v>
      </c>
      <c r="D33" s="538"/>
      <c r="E33" s="539"/>
      <c r="F33" s="540" t="s">
        <v>463</v>
      </c>
    </row>
    <row r="34" spans="1:6" ht="30" x14ac:dyDescent="0.25">
      <c r="A34" s="543"/>
      <c r="B34" s="73" t="s">
        <v>489</v>
      </c>
      <c r="D34" s="538">
        <v>8.3333333333333329E-2</v>
      </c>
      <c r="E34" s="539">
        <v>0</v>
      </c>
      <c r="F34" s="540" t="s">
        <v>465</v>
      </c>
    </row>
    <row r="35" spans="1:6" ht="60" x14ac:dyDescent="0.25">
      <c r="A35" s="543"/>
      <c r="B35" s="73" t="s">
        <v>490</v>
      </c>
      <c r="C35" s="73">
        <v>0.03</v>
      </c>
      <c r="D35" s="538"/>
      <c r="E35" s="539"/>
      <c r="F35" s="540" t="s">
        <v>463</v>
      </c>
    </row>
    <row r="36" spans="1:6" ht="30" x14ac:dyDescent="0.25">
      <c r="A36" s="541" t="s">
        <v>493</v>
      </c>
      <c r="B36" s="531"/>
      <c r="C36" s="531"/>
      <c r="D36" s="538"/>
      <c r="E36" s="539"/>
      <c r="F36" s="540" t="s">
        <v>463</v>
      </c>
    </row>
    <row r="37" spans="1:6" ht="60" x14ac:dyDescent="0.25">
      <c r="A37" s="543" t="s">
        <v>494</v>
      </c>
      <c r="B37" s="73" t="s">
        <v>495</v>
      </c>
      <c r="D37" s="538">
        <v>0.33333333333333331</v>
      </c>
      <c r="E37" s="539">
        <v>0</v>
      </c>
      <c r="F37" s="540" t="s">
        <v>465</v>
      </c>
    </row>
    <row r="38" spans="1:6" ht="45" x14ac:dyDescent="0.25">
      <c r="A38" s="543"/>
      <c r="B38" s="73" t="s">
        <v>496</v>
      </c>
      <c r="D38" s="538">
        <v>0.16666666666666666</v>
      </c>
      <c r="E38" s="539">
        <v>0</v>
      </c>
      <c r="F38" s="540" t="s">
        <v>465</v>
      </c>
    </row>
    <row r="39" spans="1:6" x14ac:dyDescent="0.25">
      <c r="A39" s="543"/>
      <c r="B39" s="73" t="s">
        <v>497</v>
      </c>
      <c r="D39" s="538">
        <v>8.3333333333333329E-2</v>
      </c>
      <c r="E39" s="539">
        <v>0</v>
      </c>
      <c r="F39" s="540" t="s">
        <v>465</v>
      </c>
    </row>
    <row r="40" spans="1:6" ht="30" x14ac:dyDescent="0.25">
      <c r="A40" s="543" t="s">
        <v>498</v>
      </c>
      <c r="B40" s="73" t="s">
        <v>499</v>
      </c>
      <c r="D40" s="538">
        <v>8.3333333333333329E-2</v>
      </c>
      <c r="E40" s="539">
        <v>0</v>
      </c>
      <c r="F40" s="540" t="s">
        <v>465</v>
      </c>
    </row>
    <row r="41" spans="1:6" ht="45" x14ac:dyDescent="0.25">
      <c r="A41" s="543"/>
      <c r="B41" s="73" t="s">
        <v>496</v>
      </c>
      <c r="D41" s="538">
        <v>8.3333333333333329E-2</v>
      </c>
      <c r="E41" s="539">
        <v>0</v>
      </c>
      <c r="F41" s="540" t="s">
        <v>465</v>
      </c>
    </row>
    <row r="42" spans="1:6" x14ac:dyDescent="0.25">
      <c r="A42" s="543"/>
      <c r="B42" s="73" t="s">
        <v>497</v>
      </c>
      <c r="D42" s="538">
        <v>4.1666666666666664E-2</v>
      </c>
      <c r="E42" s="539">
        <v>0</v>
      </c>
      <c r="F42" s="540" t="s">
        <v>465</v>
      </c>
    </row>
    <row r="43" spans="1:6" x14ac:dyDescent="0.25">
      <c r="A43" s="545"/>
      <c r="B43" s="531"/>
      <c r="C43" s="531"/>
      <c r="D43" s="538"/>
      <c r="E43" s="539"/>
      <c r="F43" s="540"/>
    </row>
    <row r="45" spans="1:6" x14ac:dyDescent="0.25">
      <c r="A45" s="546" t="s">
        <v>500</v>
      </c>
      <c r="B45" s="548"/>
      <c r="C45" s="549">
        <f>SUM(C2:C43)</f>
        <v>1.2200000000000002</v>
      </c>
      <c r="D45" s="549">
        <f>SUM(D2:D43)</f>
        <v>1.958333333333333</v>
      </c>
      <c r="E45" s="547">
        <f>SUM(E2:E25)</f>
        <v>0</v>
      </c>
    </row>
    <row r="47" spans="1:6" x14ac:dyDescent="0.25">
      <c r="A47" s="550" t="s">
        <v>501</v>
      </c>
    </row>
    <row r="48" spans="1:6" ht="90" x14ac:dyDescent="0.25">
      <c r="A48" s="550" t="s">
        <v>502</v>
      </c>
    </row>
    <row r="50" spans="1:1" x14ac:dyDescent="0.25">
      <c r="A50" s="550" t="s">
        <v>503</v>
      </c>
    </row>
    <row r="51" spans="1:1" ht="270" x14ac:dyDescent="0.25">
      <c r="A51" s="550" t="s">
        <v>504</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19A21-0E99-415A-A4E2-96323CFA1580}">
  <dimension ref="A1:G27"/>
  <sheetViews>
    <sheetView workbookViewId="0">
      <selection activeCell="G17" sqref="G17"/>
    </sheetView>
  </sheetViews>
  <sheetFormatPr defaultColWidth="8.85546875" defaultRowHeight="15" x14ac:dyDescent="0.25"/>
  <cols>
    <col min="1" max="1" width="70.42578125" style="550" customWidth="1"/>
    <col min="2" max="2" width="15.42578125" customWidth="1"/>
    <col min="3" max="3" width="53.42578125" style="73" customWidth="1"/>
    <col min="4" max="4" width="17.5703125" style="73" customWidth="1"/>
    <col min="5" max="5" width="19.85546875" customWidth="1"/>
    <col min="6" max="6" width="16.140625" customWidth="1"/>
    <col min="7" max="7" width="70.28515625" style="348" customWidth="1"/>
  </cols>
  <sheetData>
    <row r="1" spans="1:7" ht="45" x14ac:dyDescent="0.25">
      <c r="A1" s="573" t="s">
        <v>453</v>
      </c>
      <c r="B1" s="534" t="s">
        <v>454</v>
      </c>
      <c r="C1" s="534" t="s">
        <v>455</v>
      </c>
      <c r="D1" s="534" t="s">
        <v>456</v>
      </c>
      <c r="E1" s="534" t="s">
        <v>457</v>
      </c>
      <c r="F1" s="535" t="s">
        <v>458</v>
      </c>
      <c r="G1" s="536" t="s">
        <v>459</v>
      </c>
    </row>
    <row r="2" spans="1:7" x14ac:dyDescent="0.25">
      <c r="A2" s="541" t="s">
        <v>613</v>
      </c>
      <c r="B2" s="103"/>
      <c r="E2" s="538"/>
      <c r="F2" s="539"/>
      <c r="G2" s="540"/>
    </row>
    <row r="3" spans="1:7" ht="30" x14ac:dyDescent="0.25">
      <c r="A3" s="542"/>
      <c r="B3" s="103"/>
      <c r="C3" s="73" t="s">
        <v>614</v>
      </c>
      <c r="E3" s="538">
        <v>0.16666666666666666</v>
      </c>
      <c r="F3" s="539">
        <v>0</v>
      </c>
      <c r="G3" s="540" t="s">
        <v>465</v>
      </c>
    </row>
    <row r="4" spans="1:7" ht="30" x14ac:dyDescent="0.25">
      <c r="A4" s="542"/>
      <c r="B4" s="103"/>
      <c r="C4" s="73" t="s">
        <v>615</v>
      </c>
      <c r="E4" s="538">
        <v>0.05</v>
      </c>
      <c r="F4" s="539">
        <v>0</v>
      </c>
      <c r="G4" s="540" t="s">
        <v>465</v>
      </c>
    </row>
    <row r="5" spans="1:7" ht="75" x14ac:dyDescent="0.25">
      <c r="A5" s="542"/>
      <c r="B5" s="103"/>
      <c r="C5" s="73" t="s">
        <v>616</v>
      </c>
      <c r="D5" s="73">
        <f>13*0.03</f>
        <v>0.39</v>
      </c>
      <c r="E5" s="538"/>
      <c r="F5" s="539"/>
      <c r="G5" s="540" t="s">
        <v>465</v>
      </c>
    </row>
    <row r="6" spans="1:7" x14ac:dyDescent="0.25">
      <c r="A6" s="541" t="s">
        <v>617</v>
      </c>
      <c r="B6" s="103"/>
      <c r="C6" s="531"/>
      <c r="D6" s="531"/>
      <c r="E6" s="538"/>
      <c r="F6" s="539"/>
      <c r="G6" s="540"/>
    </row>
    <row r="7" spans="1:7" x14ac:dyDescent="0.25">
      <c r="A7" s="543"/>
      <c r="B7" s="103"/>
      <c r="C7" s="73" t="s">
        <v>618</v>
      </c>
      <c r="E7" s="538">
        <v>0.16666666666666666</v>
      </c>
      <c r="F7" s="539">
        <v>0.16666666666666666</v>
      </c>
      <c r="G7" s="540" t="s">
        <v>463</v>
      </c>
    </row>
    <row r="8" spans="1:7" ht="27.4" customHeight="1" x14ac:dyDescent="0.25">
      <c r="A8" s="543"/>
      <c r="B8" s="103"/>
      <c r="C8" s="73" t="s">
        <v>619</v>
      </c>
      <c r="E8" s="538">
        <v>0.05</v>
      </c>
      <c r="F8" s="539">
        <v>0</v>
      </c>
      <c r="G8" s="540" t="s">
        <v>465</v>
      </c>
    </row>
    <row r="9" spans="1:7" ht="27.4" customHeight="1" x14ac:dyDescent="0.25">
      <c r="A9" s="543"/>
      <c r="B9" s="103"/>
      <c r="C9" s="73" t="s">
        <v>620</v>
      </c>
      <c r="E9" s="538">
        <v>0.16666666666666666</v>
      </c>
      <c r="F9" s="539">
        <v>0.16666666666666666</v>
      </c>
      <c r="G9" s="540" t="s">
        <v>463</v>
      </c>
    </row>
    <row r="11" spans="1:7" x14ac:dyDescent="0.25">
      <c r="A11" s="546" t="s">
        <v>500</v>
      </c>
      <c r="B11" s="547"/>
      <c r="C11" s="548"/>
      <c r="D11" s="549">
        <f>SUM(D2:D9)</f>
        <v>0.39</v>
      </c>
      <c r="E11" s="549">
        <f>SUM(E2:E9)</f>
        <v>0.6</v>
      </c>
      <c r="F11" s="549">
        <f>SUM(F2:F9)</f>
        <v>0.33333333333333331</v>
      </c>
    </row>
    <row r="13" spans="1:7" x14ac:dyDescent="0.25">
      <c r="A13" s="576" t="s">
        <v>621</v>
      </c>
      <c r="F13" s="577"/>
    </row>
    <row r="14" spans="1:7" ht="90" x14ac:dyDescent="0.25">
      <c r="A14" s="550" t="s">
        <v>624</v>
      </c>
      <c r="E14" s="73"/>
      <c r="F14" s="577"/>
    </row>
    <row r="15" spans="1:7" ht="285" x14ac:dyDescent="0.25">
      <c r="A15" s="73" t="s">
        <v>627</v>
      </c>
      <c r="E15" s="73"/>
      <c r="F15" s="577"/>
    </row>
    <row r="16" spans="1:7" x14ac:dyDescent="0.25">
      <c r="E16" s="73"/>
      <c r="F16" s="577"/>
    </row>
    <row r="17" spans="4:7" x14ac:dyDescent="0.25">
      <c r="E17" s="73"/>
      <c r="F17" s="577"/>
    </row>
    <row r="18" spans="4:7" x14ac:dyDescent="0.25">
      <c r="E18" s="73"/>
      <c r="F18" s="577"/>
    </row>
    <row r="19" spans="4:7" x14ac:dyDescent="0.25">
      <c r="E19" s="73"/>
      <c r="F19" s="578"/>
    </row>
    <row r="20" spans="4:7" x14ac:dyDescent="0.25">
      <c r="E20" s="73"/>
      <c r="F20" s="578"/>
    </row>
    <row r="21" spans="4:7" x14ac:dyDescent="0.25">
      <c r="E21" s="73"/>
      <c r="F21" s="578"/>
    </row>
    <row r="22" spans="4:7" x14ac:dyDescent="0.25">
      <c r="E22" s="73"/>
      <c r="F22" s="578"/>
    </row>
    <row r="23" spans="4:7" x14ac:dyDescent="0.25">
      <c r="D23"/>
      <c r="G23"/>
    </row>
    <row r="24" spans="4:7" x14ac:dyDescent="0.25">
      <c r="D24"/>
      <c r="G24"/>
    </row>
    <row r="25" spans="4:7" x14ac:dyDescent="0.25">
      <c r="D25"/>
      <c r="G25"/>
    </row>
    <row r="26" spans="4:7" x14ac:dyDescent="0.25">
      <c r="D26"/>
      <c r="G26"/>
    </row>
    <row r="27" spans="4:7" x14ac:dyDescent="0.25">
      <c r="D27"/>
      <c r="G27"/>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7784E-407B-44EF-81EE-266592A73C27}">
  <dimension ref="A1:G22"/>
  <sheetViews>
    <sheetView zoomScaleNormal="100" workbookViewId="0">
      <selection activeCell="E4" sqref="E4"/>
    </sheetView>
  </sheetViews>
  <sheetFormatPr defaultColWidth="8.85546875" defaultRowHeight="15" x14ac:dyDescent="0.25"/>
  <cols>
    <col min="1" max="1" width="70.42578125" style="550" customWidth="1"/>
    <col min="2" max="2" width="15.42578125" customWidth="1"/>
    <col min="3" max="3" width="53.42578125" customWidth="1"/>
    <col min="4" max="4" width="19.85546875" customWidth="1"/>
    <col min="5" max="5" width="16.140625" customWidth="1"/>
    <col min="6" max="6" width="70.28515625" style="348" customWidth="1"/>
  </cols>
  <sheetData>
    <row r="1" spans="1:7" ht="30" x14ac:dyDescent="0.25">
      <c r="A1" s="517" t="s">
        <v>453</v>
      </c>
      <c r="B1" s="534" t="s">
        <v>454</v>
      </c>
      <c r="C1" s="568" t="s">
        <v>455</v>
      </c>
      <c r="D1" s="534" t="s">
        <v>540</v>
      </c>
      <c r="E1" s="535" t="s">
        <v>458</v>
      </c>
      <c r="F1" s="568" t="s">
        <v>459</v>
      </c>
      <c r="G1" s="103"/>
    </row>
    <row r="2" spans="1:7" x14ac:dyDescent="0.25">
      <c r="A2" s="541" t="s">
        <v>568</v>
      </c>
      <c r="B2" s="103"/>
      <c r="C2" s="103"/>
      <c r="D2" s="538"/>
      <c r="E2" s="539"/>
      <c r="F2" s="571"/>
      <c r="G2" s="103"/>
    </row>
    <row r="3" spans="1:7" x14ac:dyDescent="0.25">
      <c r="A3" s="542"/>
      <c r="B3" s="103"/>
      <c r="C3" s="569" t="s">
        <v>541</v>
      </c>
      <c r="D3" s="538">
        <v>0.25</v>
      </c>
      <c r="E3" s="539">
        <v>0.25</v>
      </c>
      <c r="F3" s="571" t="s">
        <v>463</v>
      </c>
      <c r="G3" s="103"/>
    </row>
    <row r="4" spans="1:7" x14ac:dyDescent="0.25">
      <c r="A4" s="542"/>
      <c r="B4" s="103"/>
      <c r="C4" s="569" t="s">
        <v>542</v>
      </c>
      <c r="D4" s="538">
        <v>0.15</v>
      </c>
      <c r="E4" s="539">
        <v>0.15</v>
      </c>
      <c r="F4" s="571" t="s">
        <v>463</v>
      </c>
      <c r="G4" s="103"/>
    </row>
    <row r="5" spans="1:7" x14ac:dyDescent="0.25">
      <c r="A5" s="542"/>
      <c r="B5" s="103"/>
      <c r="C5" s="569" t="s">
        <v>543</v>
      </c>
      <c r="D5" s="538">
        <v>29</v>
      </c>
      <c r="E5" s="539">
        <v>25</v>
      </c>
      <c r="F5" s="571" t="s">
        <v>544</v>
      </c>
      <c r="G5" s="103"/>
    </row>
    <row r="6" spans="1:7" x14ac:dyDescent="0.25">
      <c r="A6" s="543"/>
      <c r="B6" s="103"/>
      <c r="C6" s="569" t="s">
        <v>545</v>
      </c>
      <c r="D6" s="538">
        <v>0.2</v>
      </c>
      <c r="E6" s="539">
        <v>0.2</v>
      </c>
      <c r="F6" s="571" t="s">
        <v>463</v>
      </c>
      <c r="G6" s="103"/>
    </row>
    <row r="7" spans="1:7" x14ac:dyDescent="0.25">
      <c r="B7" s="103"/>
      <c r="C7" s="569" t="s">
        <v>546</v>
      </c>
      <c r="D7" s="538">
        <v>15</v>
      </c>
      <c r="E7" s="539">
        <v>1</v>
      </c>
      <c r="F7" s="572" t="s">
        <v>547</v>
      </c>
      <c r="G7" s="103"/>
    </row>
    <row r="8" spans="1:7" x14ac:dyDescent="0.25">
      <c r="A8" s="541" t="s">
        <v>569</v>
      </c>
      <c r="B8" s="103"/>
      <c r="C8" s="570"/>
      <c r="D8" s="538"/>
      <c r="E8" s="539"/>
      <c r="F8" s="571"/>
      <c r="G8" s="103"/>
    </row>
    <row r="9" spans="1:7" x14ac:dyDescent="0.25">
      <c r="A9" s="543"/>
      <c r="B9" s="103"/>
      <c r="C9" s="569" t="s">
        <v>541</v>
      </c>
      <c r="D9" s="538">
        <v>0.2</v>
      </c>
      <c r="E9" s="539">
        <v>0.2</v>
      </c>
      <c r="F9" s="571" t="s">
        <v>463</v>
      </c>
      <c r="G9" s="103"/>
    </row>
    <row r="10" spans="1:7" x14ac:dyDescent="0.25">
      <c r="A10" s="543"/>
      <c r="B10" s="103"/>
      <c r="C10" s="569" t="s">
        <v>542</v>
      </c>
      <c r="D10" s="538">
        <v>0.25</v>
      </c>
      <c r="E10" s="539">
        <v>0.25</v>
      </c>
      <c r="F10" s="571" t="s">
        <v>463</v>
      </c>
      <c r="G10" s="103"/>
    </row>
    <row r="11" spans="1:7" x14ac:dyDescent="0.25">
      <c r="A11" s="543"/>
      <c r="B11" s="103"/>
      <c r="C11" s="569" t="s">
        <v>543</v>
      </c>
      <c r="D11" s="538">
        <v>29</v>
      </c>
      <c r="E11" s="539">
        <v>25</v>
      </c>
      <c r="F11" s="571" t="s">
        <v>544</v>
      </c>
      <c r="G11" s="103"/>
    </row>
    <row r="12" spans="1:7" x14ac:dyDescent="0.25">
      <c r="A12" s="543"/>
      <c r="B12" s="103"/>
      <c r="C12" s="569" t="s">
        <v>545</v>
      </c>
      <c r="D12" s="538">
        <v>0.13</v>
      </c>
      <c r="E12" s="539">
        <v>0.13</v>
      </c>
      <c r="F12" s="571" t="s">
        <v>463</v>
      </c>
      <c r="G12" s="103"/>
    </row>
    <row r="13" spans="1:7" x14ac:dyDescent="0.25">
      <c r="A13" s="543"/>
      <c r="B13" s="103"/>
      <c r="C13" s="569" t="s">
        <v>546</v>
      </c>
      <c r="D13" s="538">
        <v>0.12</v>
      </c>
      <c r="E13" s="539">
        <v>0.12</v>
      </c>
      <c r="F13" s="571" t="s">
        <v>463</v>
      </c>
      <c r="G13" s="103"/>
    </row>
    <row r="14" spans="1:7" ht="30" x14ac:dyDescent="0.25">
      <c r="A14" s="541" t="s">
        <v>570</v>
      </c>
      <c r="B14" s="103"/>
      <c r="C14" s="103"/>
      <c r="D14" s="538"/>
      <c r="E14" s="539"/>
      <c r="F14" s="571"/>
      <c r="G14" s="103"/>
    </row>
    <row r="15" spans="1:7" x14ac:dyDescent="0.25">
      <c r="A15" s="543"/>
      <c r="B15" s="103"/>
      <c r="C15" s="569" t="s">
        <v>548</v>
      </c>
      <c r="D15" s="538">
        <v>30</v>
      </c>
      <c r="E15" s="539">
        <v>0</v>
      </c>
      <c r="F15" s="571" t="s">
        <v>549</v>
      </c>
      <c r="G15" s="103"/>
    </row>
    <row r="16" spans="1:7" x14ac:dyDescent="0.25">
      <c r="A16" s="543"/>
      <c r="B16" s="103"/>
      <c r="C16" s="569" t="s">
        <v>550</v>
      </c>
      <c r="D16" s="538">
        <v>0.7</v>
      </c>
      <c r="E16" s="539">
        <v>0.7</v>
      </c>
      <c r="F16" s="571" t="s">
        <v>463</v>
      </c>
      <c r="G16" s="103"/>
    </row>
    <row r="17" spans="1:5" x14ac:dyDescent="0.25">
      <c r="D17" s="485"/>
    </row>
    <row r="18" spans="1:5" x14ac:dyDescent="0.25">
      <c r="A18" s="546" t="s">
        <v>551</v>
      </c>
      <c r="B18" s="547"/>
      <c r="C18" s="547"/>
      <c r="D18" s="549">
        <f>SUM(D3:D16)</f>
        <v>105</v>
      </c>
      <c r="E18" s="549">
        <f>SUM(E3:E16)</f>
        <v>53</v>
      </c>
    </row>
    <row r="21" spans="1:5" x14ac:dyDescent="0.25">
      <c r="A21" s="550" t="s">
        <v>501</v>
      </c>
    </row>
    <row r="22" spans="1:5" ht="270" x14ac:dyDescent="0.25">
      <c r="A22" s="550" t="s">
        <v>552</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7444A-7CC1-4243-A9FB-A6DCE2B9150F}">
  <dimension ref="A1:G22"/>
  <sheetViews>
    <sheetView workbookViewId="0">
      <selection activeCell="A14" sqref="A14"/>
    </sheetView>
  </sheetViews>
  <sheetFormatPr defaultColWidth="8.85546875" defaultRowHeight="15" x14ac:dyDescent="0.25"/>
  <cols>
    <col min="1" max="1" width="70.42578125" style="550" customWidth="1"/>
    <col min="2" max="2" width="15.42578125" customWidth="1"/>
    <col min="3" max="3" width="53.42578125" customWidth="1"/>
    <col min="4" max="4" width="19.85546875" customWidth="1"/>
    <col min="5" max="5" width="16.140625" customWidth="1"/>
    <col min="6" max="6" width="70.28515625" style="348" customWidth="1"/>
  </cols>
  <sheetData>
    <row r="1" spans="1:7" ht="30" x14ac:dyDescent="0.25">
      <c r="A1" s="517" t="s">
        <v>453</v>
      </c>
      <c r="B1" s="534" t="s">
        <v>454</v>
      </c>
      <c r="C1" s="568" t="s">
        <v>455</v>
      </c>
      <c r="D1" s="534" t="s">
        <v>556</v>
      </c>
      <c r="E1" s="535" t="s">
        <v>458</v>
      </c>
      <c r="F1" s="568" t="s">
        <v>459</v>
      </c>
      <c r="G1" s="103"/>
    </row>
    <row r="2" spans="1:7" ht="30" x14ac:dyDescent="0.25">
      <c r="A2" s="541" t="s">
        <v>571</v>
      </c>
      <c r="B2" s="103"/>
      <c r="C2" s="103"/>
      <c r="D2" s="538"/>
      <c r="E2" s="539"/>
      <c r="F2" s="571"/>
      <c r="G2" s="103"/>
    </row>
    <row r="3" spans="1:7" x14ac:dyDescent="0.25">
      <c r="A3" s="542"/>
      <c r="B3" s="103"/>
      <c r="C3" s="569" t="s">
        <v>557</v>
      </c>
      <c r="D3" s="538">
        <v>0.25</v>
      </c>
      <c r="E3" s="539">
        <v>0.25</v>
      </c>
      <c r="F3" s="571" t="s">
        <v>463</v>
      </c>
      <c r="G3" s="103"/>
    </row>
    <row r="4" spans="1:7" x14ac:dyDescent="0.25">
      <c r="A4" s="542"/>
      <c r="B4" s="103"/>
      <c r="C4" s="569" t="s">
        <v>558</v>
      </c>
      <c r="D4" s="538">
        <v>0.15</v>
      </c>
      <c r="E4" s="539">
        <v>0.15</v>
      </c>
      <c r="F4" s="571" t="s">
        <v>463</v>
      </c>
      <c r="G4" s="103"/>
    </row>
    <row r="5" spans="1:7" x14ac:dyDescent="0.25">
      <c r="A5" s="542"/>
      <c r="B5" s="103"/>
      <c r="C5" s="569" t="s">
        <v>543</v>
      </c>
      <c r="D5" s="538">
        <v>29</v>
      </c>
      <c r="E5" s="539">
        <v>25</v>
      </c>
      <c r="F5" s="571" t="s">
        <v>544</v>
      </c>
      <c r="G5" s="103"/>
    </row>
    <row r="6" spans="1:7" x14ac:dyDescent="0.25">
      <c r="A6" s="543"/>
      <c r="B6" s="103"/>
      <c r="C6" s="569" t="s">
        <v>559</v>
      </c>
      <c r="D6" s="538">
        <v>0.2</v>
      </c>
      <c r="E6" s="539">
        <v>0.2</v>
      </c>
      <c r="F6" s="571" t="s">
        <v>463</v>
      </c>
      <c r="G6" s="103"/>
    </row>
    <row r="7" spans="1:7" x14ac:dyDescent="0.25">
      <c r="B7" s="103"/>
      <c r="C7" s="569" t="s">
        <v>560</v>
      </c>
      <c r="D7" s="538">
        <v>1</v>
      </c>
      <c r="E7" s="539">
        <v>0</v>
      </c>
      <c r="F7" s="572" t="s">
        <v>547</v>
      </c>
      <c r="G7" s="103"/>
    </row>
    <row r="8" spans="1:7" x14ac:dyDescent="0.25">
      <c r="A8" s="541" t="s">
        <v>572</v>
      </c>
      <c r="B8" s="103"/>
      <c r="C8" s="570"/>
      <c r="D8" s="538"/>
      <c r="E8" s="539"/>
      <c r="F8" s="571"/>
      <c r="G8" s="103"/>
    </row>
    <row r="9" spans="1:7" x14ac:dyDescent="0.25">
      <c r="A9" s="543"/>
      <c r="B9" s="103"/>
      <c r="C9" s="569" t="s">
        <v>561</v>
      </c>
      <c r="D9" s="538">
        <v>0.2</v>
      </c>
      <c r="E9" s="539">
        <v>0.2</v>
      </c>
      <c r="F9" s="571" t="s">
        <v>463</v>
      </c>
      <c r="G9" s="103"/>
    </row>
    <row r="10" spans="1:7" x14ac:dyDescent="0.25">
      <c r="A10" s="543"/>
      <c r="B10" s="103"/>
      <c r="C10" s="569" t="s">
        <v>562</v>
      </c>
      <c r="D10" s="538">
        <v>0.25</v>
      </c>
      <c r="E10" s="539">
        <v>0.25</v>
      </c>
      <c r="F10" s="571" t="s">
        <v>463</v>
      </c>
      <c r="G10" s="103"/>
    </row>
    <row r="11" spans="1:7" x14ac:dyDescent="0.25">
      <c r="A11" s="543"/>
      <c r="B11" s="103"/>
      <c r="C11" s="569" t="s">
        <v>543</v>
      </c>
      <c r="D11" s="538">
        <v>29</v>
      </c>
      <c r="E11" s="539">
        <v>25</v>
      </c>
      <c r="F11" s="571" t="s">
        <v>544</v>
      </c>
      <c r="G11" s="103"/>
    </row>
    <row r="12" spans="1:7" x14ac:dyDescent="0.25">
      <c r="A12" s="543"/>
      <c r="B12" s="103"/>
      <c r="C12" s="569" t="s">
        <v>563</v>
      </c>
      <c r="D12" s="538">
        <v>0.13</v>
      </c>
      <c r="E12" s="539">
        <v>0.13</v>
      </c>
      <c r="F12" s="571" t="s">
        <v>463</v>
      </c>
      <c r="G12" s="103"/>
    </row>
    <row r="13" spans="1:7" x14ac:dyDescent="0.25">
      <c r="A13" s="543"/>
      <c r="B13" s="103"/>
      <c r="C13" s="569" t="s">
        <v>564</v>
      </c>
      <c r="D13" s="538">
        <v>0.12</v>
      </c>
      <c r="E13" s="539">
        <v>0.12</v>
      </c>
      <c r="F13" s="571" t="s">
        <v>463</v>
      </c>
      <c r="G13" s="103"/>
    </row>
    <row r="14" spans="1:7" x14ac:dyDescent="0.25">
      <c r="A14" s="541" t="s">
        <v>565</v>
      </c>
      <c r="B14" s="103"/>
      <c r="C14" s="103"/>
      <c r="D14" s="538"/>
      <c r="E14" s="539"/>
      <c r="F14" s="571"/>
      <c r="G14" s="103"/>
    </row>
    <row r="15" spans="1:7" x14ac:dyDescent="0.25">
      <c r="A15" s="543"/>
      <c r="B15" s="103"/>
      <c r="C15" s="569" t="s">
        <v>548</v>
      </c>
      <c r="D15" s="538">
        <v>30</v>
      </c>
      <c r="E15" s="539">
        <v>0</v>
      </c>
      <c r="F15" s="571" t="s">
        <v>549</v>
      </c>
      <c r="G15" s="103"/>
    </row>
    <row r="16" spans="1:7" x14ac:dyDescent="0.25">
      <c r="A16" s="543"/>
      <c r="B16" s="103"/>
      <c r="C16" s="569" t="s">
        <v>550</v>
      </c>
      <c r="D16" s="538">
        <v>0.7</v>
      </c>
      <c r="E16" s="539">
        <v>0.7</v>
      </c>
      <c r="F16" s="571" t="s">
        <v>463</v>
      </c>
      <c r="G16" s="103"/>
    </row>
    <row r="17" spans="1:7" x14ac:dyDescent="0.25">
      <c r="G17" s="103"/>
    </row>
    <row r="18" spans="1:7" x14ac:dyDescent="0.25">
      <c r="A18" s="546" t="s">
        <v>566</v>
      </c>
      <c r="B18" s="547"/>
      <c r="C18" s="547"/>
      <c r="D18" s="549">
        <f>SUM(D3:D16)</f>
        <v>91</v>
      </c>
      <c r="E18" s="549">
        <f>SUM(E3:E16)</f>
        <v>52</v>
      </c>
    </row>
    <row r="21" spans="1:7" x14ac:dyDescent="0.25">
      <c r="A21" s="550" t="s">
        <v>501</v>
      </c>
    </row>
    <row r="22" spans="1:7" ht="150" x14ac:dyDescent="0.25">
      <c r="A22" s="550" t="s">
        <v>567</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32C14-4DC7-4241-B191-A1D93BB78E72}">
  <dimension ref="A1:G11"/>
  <sheetViews>
    <sheetView workbookViewId="0">
      <selection activeCell="F1" sqref="F1"/>
    </sheetView>
  </sheetViews>
  <sheetFormatPr defaultColWidth="16.140625" defaultRowHeight="15" x14ac:dyDescent="0.25"/>
  <cols>
    <col min="1" max="1" width="35.42578125" customWidth="1"/>
    <col min="2" max="2" width="8.42578125" bestFit="1" customWidth="1"/>
    <col min="3" max="3" width="18.42578125" customWidth="1"/>
    <col min="6" max="6" width="21.5703125" customWidth="1"/>
    <col min="7" max="7" width="43.85546875" customWidth="1"/>
  </cols>
  <sheetData>
    <row r="1" spans="1:7" ht="24" x14ac:dyDescent="0.25">
      <c r="A1" s="465" t="s">
        <v>293</v>
      </c>
      <c r="B1" s="465" t="s">
        <v>294</v>
      </c>
      <c r="C1" s="465" t="s">
        <v>295</v>
      </c>
      <c r="D1" s="466" t="s">
        <v>296</v>
      </c>
      <c r="E1" s="505" t="s">
        <v>328</v>
      </c>
      <c r="F1" s="506" t="s">
        <v>329</v>
      </c>
      <c r="G1" s="507"/>
    </row>
    <row r="2" spans="1:7" x14ac:dyDescent="0.25">
      <c r="A2" s="467" t="s">
        <v>297</v>
      </c>
      <c r="B2" s="467" t="s">
        <v>298</v>
      </c>
      <c r="C2" s="468">
        <v>80</v>
      </c>
      <c r="D2" s="442">
        <f t="shared" ref="D2:D11" si="0">(C2*8)*1.2</f>
        <v>768</v>
      </c>
      <c r="E2" s="504">
        <f>F2-D2</f>
        <v>300</v>
      </c>
      <c r="F2" s="508">
        <f>890*1.2</f>
        <v>1068</v>
      </c>
      <c r="G2" s="507" t="s">
        <v>319</v>
      </c>
    </row>
    <row r="3" spans="1:7" x14ac:dyDescent="0.25">
      <c r="A3" s="467" t="s">
        <v>299</v>
      </c>
      <c r="B3" s="467" t="s">
        <v>298</v>
      </c>
      <c r="C3" s="468">
        <v>90</v>
      </c>
      <c r="D3" s="442">
        <f t="shared" si="0"/>
        <v>864</v>
      </c>
      <c r="E3" s="504">
        <f t="shared" ref="E3:E11" si="1">F3-D3</f>
        <v>24</v>
      </c>
      <c r="F3" s="509">
        <f>740*1.2</f>
        <v>888</v>
      </c>
      <c r="G3" s="507" t="s">
        <v>320</v>
      </c>
    </row>
    <row r="4" spans="1:7" x14ac:dyDescent="0.25">
      <c r="A4" s="467" t="s">
        <v>300</v>
      </c>
      <c r="B4" s="467" t="s">
        <v>298</v>
      </c>
      <c r="C4" s="468">
        <v>75</v>
      </c>
      <c r="D4" s="442">
        <f t="shared" si="0"/>
        <v>720</v>
      </c>
      <c r="E4" s="504">
        <f t="shared" si="1"/>
        <v>168</v>
      </c>
      <c r="F4" s="509">
        <f>740*1.2</f>
        <v>888</v>
      </c>
      <c r="G4" s="507" t="s">
        <v>320</v>
      </c>
    </row>
    <row r="5" spans="1:7" x14ac:dyDescent="0.25">
      <c r="A5" s="467" t="s">
        <v>301</v>
      </c>
      <c r="B5" s="467" t="s">
        <v>298</v>
      </c>
      <c r="C5" s="468">
        <v>70</v>
      </c>
      <c r="D5" s="442">
        <f t="shared" si="0"/>
        <v>672</v>
      </c>
      <c r="E5" s="504">
        <f t="shared" si="1"/>
        <v>108</v>
      </c>
      <c r="F5" s="509">
        <f>650*1.2</f>
        <v>780</v>
      </c>
      <c r="G5" s="510" t="s">
        <v>321</v>
      </c>
    </row>
    <row r="6" spans="1:7" x14ac:dyDescent="0.25">
      <c r="A6" s="467" t="s">
        <v>302</v>
      </c>
      <c r="B6" s="467" t="s">
        <v>298</v>
      </c>
      <c r="C6" s="468">
        <v>60</v>
      </c>
      <c r="D6" s="442">
        <f t="shared" si="0"/>
        <v>576</v>
      </c>
      <c r="E6" s="504">
        <f t="shared" si="1"/>
        <v>108</v>
      </c>
      <c r="F6" s="509">
        <f>570*1.2</f>
        <v>684</v>
      </c>
      <c r="G6" s="507" t="s">
        <v>322</v>
      </c>
    </row>
    <row r="7" spans="1:7" x14ac:dyDescent="0.25">
      <c r="A7" s="467" t="s">
        <v>303</v>
      </c>
      <c r="B7" s="467" t="s">
        <v>298</v>
      </c>
      <c r="C7" s="468">
        <v>65</v>
      </c>
      <c r="D7" s="442">
        <f t="shared" si="0"/>
        <v>624</v>
      </c>
      <c r="E7" s="504">
        <f t="shared" si="1"/>
        <v>324</v>
      </c>
      <c r="F7" s="509">
        <f>790*1.2</f>
        <v>948</v>
      </c>
      <c r="G7" s="507" t="s">
        <v>323</v>
      </c>
    </row>
    <row r="8" spans="1:7" x14ac:dyDescent="0.25">
      <c r="A8" s="467" t="s">
        <v>304</v>
      </c>
      <c r="B8" s="467" t="s">
        <v>298</v>
      </c>
      <c r="C8" s="468">
        <v>60</v>
      </c>
      <c r="D8" s="442">
        <f t="shared" si="0"/>
        <v>576</v>
      </c>
      <c r="E8" s="504">
        <f t="shared" si="1"/>
        <v>276</v>
      </c>
      <c r="F8" s="509">
        <f>710*1.2</f>
        <v>852</v>
      </c>
      <c r="G8" s="507" t="s">
        <v>324</v>
      </c>
    </row>
    <row r="9" spans="1:7" x14ac:dyDescent="0.25">
      <c r="A9" s="467" t="s">
        <v>305</v>
      </c>
      <c r="B9" s="467" t="s">
        <v>298</v>
      </c>
      <c r="C9" s="468">
        <v>60</v>
      </c>
      <c r="D9" s="442">
        <f t="shared" si="0"/>
        <v>576</v>
      </c>
      <c r="E9" s="504">
        <f t="shared" si="1"/>
        <v>108</v>
      </c>
      <c r="F9" s="509">
        <f>570*1.2</f>
        <v>684</v>
      </c>
      <c r="G9" s="507" t="s">
        <v>325</v>
      </c>
    </row>
    <row r="10" spans="1:7" x14ac:dyDescent="0.25">
      <c r="A10" s="467" t="s">
        <v>306</v>
      </c>
      <c r="B10" s="467" t="s">
        <v>298</v>
      </c>
      <c r="C10" s="468">
        <v>90</v>
      </c>
      <c r="D10" s="442">
        <f t="shared" si="0"/>
        <v>864</v>
      </c>
      <c r="E10" s="504">
        <f t="shared" si="1"/>
        <v>204</v>
      </c>
      <c r="F10" s="509">
        <f>890*1.2</f>
        <v>1068</v>
      </c>
      <c r="G10" s="507" t="s">
        <v>326</v>
      </c>
    </row>
    <row r="11" spans="1:7" x14ac:dyDescent="0.25">
      <c r="A11" s="467" t="s">
        <v>307</v>
      </c>
      <c r="B11" s="467" t="s">
        <v>298</v>
      </c>
      <c r="C11" s="468">
        <v>90</v>
      </c>
      <c r="D11" s="442">
        <f t="shared" si="0"/>
        <v>864</v>
      </c>
      <c r="E11" s="504">
        <f t="shared" si="1"/>
        <v>576</v>
      </c>
      <c r="F11" s="509">
        <f>1200*1.2</f>
        <v>1440</v>
      </c>
      <c r="G11" s="507" t="s">
        <v>327</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9EF09-783B-472B-9C0E-7A4525BC78F4}">
  <dimension ref="A1:E3"/>
  <sheetViews>
    <sheetView workbookViewId="0">
      <selection activeCell="B3" sqref="B3"/>
    </sheetView>
  </sheetViews>
  <sheetFormatPr defaultColWidth="35.5703125" defaultRowHeight="15" x14ac:dyDescent="0.25"/>
  <sheetData>
    <row r="1" spans="1:5" ht="30.75" thickBot="1" x14ac:dyDescent="0.3">
      <c r="A1" s="511" t="s">
        <v>330</v>
      </c>
      <c r="B1" s="447" t="s">
        <v>340</v>
      </c>
      <c r="C1" s="447" t="s">
        <v>341</v>
      </c>
      <c r="D1" s="447" t="s">
        <v>342</v>
      </c>
      <c r="E1" s="447" t="s">
        <v>343</v>
      </c>
    </row>
    <row r="2" spans="1:5" ht="15.75" thickBot="1" x14ac:dyDescent="0.3">
      <c r="A2" s="512" t="s">
        <v>331</v>
      </c>
      <c r="B2" s="514">
        <v>214997.81080711717</v>
      </c>
      <c r="C2" s="514">
        <v>207675.90393752494</v>
      </c>
      <c r="D2" s="514">
        <v>758815.80284864898</v>
      </c>
      <c r="E2" s="514">
        <v>819387.94149709377</v>
      </c>
    </row>
    <row r="3" spans="1:5" ht="15.75" thickBot="1" x14ac:dyDescent="0.3">
      <c r="A3" s="512" t="s">
        <v>401</v>
      </c>
      <c r="B3" s="513">
        <f>'Parametre - Agendové IS'!$G$5+'Parametre - Agendové IS'!$M$5+'Parametre - Agendové IS'!$P$5</f>
        <v>62935</v>
      </c>
      <c r="C3" s="513">
        <f>'Parametre - Agendové IS'!$G$5+'Parametre - Agendové IS'!$M$5+'Parametre - Agendové IS'!$P$5</f>
        <v>62935</v>
      </c>
      <c r="D3" s="513">
        <f>'Parametre - Agendové IS'!$G$5+'Parametre - Agendové IS'!$M$5+'Parametre - Agendové IS'!$P$5</f>
        <v>62935</v>
      </c>
      <c r="E3" s="513">
        <f>'Parametre - Agendové IS'!$G$5+'Parametre - Agendové IS'!$M$5+'Parametre - Agendové IS'!$P$5</f>
        <v>62935</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30"/>
  <sheetViews>
    <sheetView workbookViewId="0">
      <selection activeCell="M33" sqref="M33"/>
    </sheetView>
  </sheetViews>
  <sheetFormatPr defaultColWidth="8.85546875" defaultRowHeight="15" x14ac:dyDescent="0.25"/>
  <cols>
    <col min="2" max="2" width="9.140625" customWidth="1"/>
    <col min="3" max="3" width="32" customWidth="1"/>
    <col min="4" max="4" width="18" customWidth="1"/>
    <col min="5" max="5" width="13.42578125" customWidth="1"/>
    <col min="6" max="6" width="15.140625" customWidth="1"/>
    <col min="7" max="7" width="13" customWidth="1"/>
    <col min="13" max="13" width="32.28515625" customWidth="1"/>
    <col min="14" max="15" width="15.42578125" bestFit="1" customWidth="1"/>
    <col min="16" max="16" width="12.85546875" bestFit="1" customWidth="1"/>
    <col min="17" max="17" width="15.42578125" bestFit="1" customWidth="1"/>
  </cols>
  <sheetData>
    <row r="1" spans="1:18" ht="21.75" customHeight="1" thickBot="1" x14ac:dyDescent="0.3">
      <c r="A1" s="619" t="s">
        <v>162</v>
      </c>
      <c r="B1" s="619"/>
      <c r="C1" s="619"/>
      <c r="D1" s="342"/>
      <c r="E1" s="342"/>
      <c r="F1" s="342"/>
      <c r="G1" s="342"/>
      <c r="H1" s="342"/>
      <c r="I1" s="342"/>
      <c r="J1" s="342"/>
      <c r="K1" s="619" t="s">
        <v>161</v>
      </c>
      <c r="L1" s="619"/>
      <c r="M1" s="619"/>
    </row>
    <row r="2" spans="1:18" ht="60" customHeight="1" x14ac:dyDescent="0.25">
      <c r="A2" s="620"/>
      <c r="B2" s="621"/>
      <c r="C2" s="622"/>
      <c r="D2" s="473" t="str">
        <f>'Parametre - Agendové IS'!G1</f>
        <v>Registrácia PrZS (Narodenie dieťaťa)</v>
      </c>
      <c r="E2" s="473" t="str">
        <f>'Parametre - Agendové IS'!M1</f>
        <v>Registrácia PZS</v>
      </c>
      <c r="F2" s="474" t="str">
        <f>'Parametre - Agendové IS'!P1</f>
        <v>Registrácia ZPr</v>
      </c>
      <c r="G2" s="331" t="s">
        <v>104</v>
      </c>
      <c r="K2" s="620"/>
      <c r="L2" s="621"/>
      <c r="M2" s="622"/>
      <c r="N2" s="471" t="str">
        <f>D2</f>
        <v>Registrácia PrZS (Narodenie dieťaťa)</v>
      </c>
      <c r="O2" s="471" t="str">
        <f>E2</f>
        <v>Registrácia PZS</v>
      </c>
      <c r="P2" s="472" t="str">
        <f>F2</f>
        <v>Registrácia ZPr</v>
      </c>
      <c r="Q2" s="331" t="s">
        <v>104</v>
      </c>
    </row>
    <row r="3" spans="1:18" x14ac:dyDescent="0.25">
      <c r="A3" s="322" t="s">
        <v>156</v>
      </c>
      <c r="B3" s="323"/>
      <c r="C3" s="324"/>
      <c r="D3" s="329">
        <f>D4+D5+D9</f>
        <v>-1480317.6399995165</v>
      </c>
      <c r="E3" s="329">
        <f t="shared" ref="E3:F3" si="0">E4+E5+E9</f>
        <v>398543.6945186939</v>
      </c>
      <c r="F3" s="330">
        <f t="shared" si="0"/>
        <v>1008531.4368028828</v>
      </c>
      <c r="G3" s="332">
        <f t="shared" ref="G3:G15" si="1">SUM(D3:F3)</f>
        <v>-73242.508677939768</v>
      </c>
      <c r="K3" s="322" t="s">
        <v>156</v>
      </c>
      <c r="L3" s="323"/>
      <c r="M3" s="324"/>
      <c r="N3" s="329">
        <f>N4+N5+N9</f>
        <v>-2556465.2199016521</v>
      </c>
      <c r="O3" s="329">
        <f t="shared" ref="O3:P3" si="2">O4+O5+O9</f>
        <v>177019.35964884612</v>
      </c>
      <c r="P3" s="330">
        <f t="shared" si="2"/>
        <v>447954.87065522512</v>
      </c>
      <c r="Q3" s="332">
        <f t="shared" ref="Q3:Q15" si="3">SUM(N3:P3)</f>
        <v>-1931490.9895975809</v>
      </c>
    </row>
    <row r="4" spans="1:18" x14ac:dyDescent="0.25">
      <c r="A4" s="325"/>
      <c r="B4" s="337" t="s">
        <v>67</v>
      </c>
      <c r="C4" s="338"/>
      <c r="D4" s="339">
        <f>'Parametre - Agendové IS'!I106+NPV(Faktory!$D$5,'Parametre - Agendové IS'!I107:I115)</f>
        <v>-428372.26231605827</v>
      </c>
      <c r="E4" s="339">
        <f>'Parametre - Agendové IS'!O106+NPV(Faktory!$D$5,'Parametre - Agendové IS'!O107:O115)</f>
        <v>0</v>
      </c>
      <c r="F4" s="340">
        <f>'Parametre - Agendové IS'!R106+NPV(Faktory!$D$5,'Parametre - Agendové IS'!R107:R115)</f>
        <v>0</v>
      </c>
      <c r="G4" s="341">
        <f t="shared" si="1"/>
        <v>-428372.26231605827</v>
      </c>
      <c r="K4" s="325"/>
      <c r="L4" s="337" t="s">
        <v>67</v>
      </c>
      <c r="M4" s="338"/>
      <c r="N4" s="339">
        <f>SUM('Parametre - Agendové IS'!I106:I115)</f>
        <v>-556739.67999999982</v>
      </c>
      <c r="O4" s="339">
        <f>SUM('Parametre - Agendové IS'!O106:O115)</f>
        <v>0</v>
      </c>
      <c r="P4" s="340">
        <f>SUM('Parametre - Agendové IS'!R106:R115)</f>
        <v>0</v>
      </c>
      <c r="Q4" s="341">
        <f t="shared" si="3"/>
        <v>-556739.67999999982</v>
      </c>
    </row>
    <row r="5" spans="1:18" x14ac:dyDescent="0.25">
      <c r="A5" s="325"/>
      <c r="B5" s="337" t="s">
        <v>163</v>
      </c>
      <c r="C5" s="338"/>
      <c r="D5" s="339">
        <f>SUM(D6:D8)</f>
        <v>297303.88571428572</v>
      </c>
      <c r="E5" s="339">
        <f t="shared" ref="E5:F5" si="4">SUM(E6:E8)</f>
        <v>134688</v>
      </c>
      <c r="F5" s="340">
        <f t="shared" si="4"/>
        <v>340833.6</v>
      </c>
      <c r="G5" s="341">
        <f t="shared" si="1"/>
        <v>772825.48571428563</v>
      </c>
      <c r="K5" s="325"/>
      <c r="L5" s="337" t="s">
        <v>163</v>
      </c>
      <c r="M5" s="338"/>
      <c r="N5" s="339">
        <f>SUM(N6:N8)</f>
        <v>387884.23554180405</v>
      </c>
      <c r="O5" s="339">
        <f t="shared" ref="O5:P5" si="5">SUM(O6:O8)</f>
        <v>171539.84537664932</v>
      </c>
      <c r="P5" s="340">
        <f t="shared" si="5"/>
        <v>434088.73131360434</v>
      </c>
      <c r="Q5" s="341">
        <f t="shared" si="3"/>
        <v>993512.8122320578</v>
      </c>
    </row>
    <row r="6" spans="1:18" x14ac:dyDescent="0.25">
      <c r="A6" s="326"/>
      <c r="B6" s="327"/>
      <c r="C6" s="328" t="s">
        <v>106</v>
      </c>
      <c r="D6" s="333">
        <f>('TCO Alt. 2 - SW'!H26+NPV(Faktory!$D$5,'TCO Alt. 2 - SW'!H27:H35)+'TCO Alt. 2 - SW'!H36+NPV(Faktory!$D$5,'TCO Alt. 2 - SW'!H37:H45)+'TCO Alt. 2 - SW'!H46+NPV(Faktory!$D$5,'TCO Alt. 2 - SW'!H47:H55))-('TCO Alt. 1 - SW'!G26+NPV(Faktory!$D$5,'TCO Alt. 1 - SW'!G27:G35)+'TCO Alt. 1 - SW'!G36+NPV(Faktory!$D$5,'TCO Alt. 1 - SW'!G37:G45)+'TCO Alt. 1 - SW'!G46+NPV(Faktory!$D$5,'TCO Alt. 1 - SW'!G47:G55))</f>
        <v>297303.88571428572</v>
      </c>
      <c r="E6" s="333">
        <f>('TCO Alt. 2 - SW'!I26+NPV(Faktory!$D$5,'TCO Alt. 2 - SW'!I27:I35)+'TCO Alt. 2 - SW'!I36+NPV(Faktory!$D$5,'TCO Alt. 2 - SW'!I37:I45)+'TCO Alt. 2 - SW'!I46+NPV(Faktory!$D$5,'TCO Alt. 2 - SW'!I47:I55))-('TCO Alt. 1 - SW'!H26+NPV(Faktory!$D$5,'TCO Alt. 1 - SW'!H27:H35)+'TCO Alt. 1 - SW'!H36+NPV(Faktory!$D$5,'TCO Alt. 1 - SW'!H37:H45)+'TCO Alt. 1 - SW'!H46+NPV(Faktory!$D$5,'TCO Alt. 1 - SW'!H47:H55))</f>
        <v>134688</v>
      </c>
      <c r="F6" s="334">
        <f>('TCO Alt. 2 - SW'!K26+NPV(Faktory!$D$5,'TCO Alt. 2 - SW'!K27:K35)+'TCO Alt. 2 - SW'!K36+NPV(Faktory!$D$5,'TCO Alt. 2 - SW'!K37:K45)+'TCO Alt. 2 - SW'!K46+NPV(Faktory!$D$5,'TCO Alt. 2 - SW'!K47:K55))-('TCO Alt. 1 - SW'!J26+NPV(Faktory!$D$5,'TCO Alt. 1 - SW'!J27:J35)+'TCO Alt. 1 - SW'!J36+NPV(Faktory!$D$5,'TCO Alt. 1 - SW'!J37:J45)+'TCO Alt. 1 - SW'!J46+NPV(Faktory!$D$5,'TCO Alt. 1 - SW'!J47:J55))</f>
        <v>340833.6</v>
      </c>
      <c r="G6" s="335">
        <f t="shared" si="1"/>
        <v>772825.48571428563</v>
      </c>
      <c r="K6" s="326"/>
      <c r="L6" s="327"/>
      <c r="M6" s="328" t="s">
        <v>106</v>
      </c>
      <c r="N6" s="333">
        <f>'TCO Alt. 2 - SW'!H25-'TCO Alt. 1 - SW'!G25</f>
        <v>387884.23554180405</v>
      </c>
      <c r="O6" s="333">
        <f>'TCO Alt. 2 - SW'!I25-'TCO Alt. 1 - SW'!H25</f>
        <v>171539.84537664932</v>
      </c>
      <c r="P6" s="333">
        <f>'TCO Alt. 2 - SW'!K25-'TCO Alt. 1 - SW'!J25</f>
        <v>434088.73131360434</v>
      </c>
      <c r="Q6" s="335">
        <f t="shared" si="3"/>
        <v>993512.8122320578</v>
      </c>
    </row>
    <row r="7" spans="1:18" x14ac:dyDescent="0.25">
      <c r="A7" s="326"/>
      <c r="B7" s="327"/>
      <c r="C7" s="328" t="s">
        <v>66</v>
      </c>
      <c r="D7" s="333">
        <f>('TCO Alt. 2 - SW'!H5+NPV(Faktory!$D$5,'TCO Alt. 2 - SW'!H6:H14)+'TCO Alt. 2 - SW'!H15+NPV(Faktory!$D$5,'TCO Alt. 2 - SW'!H16:H24))-('TCO Alt. 1 - SW'!G5+NPV(Faktory!$D$5,'TCO Alt. 1 - SW'!G6:G14)+'TCO Alt. 1 - SW'!G15+NPV(Faktory!$D$5,'TCO Alt. 1 - SW'!G16:G24))</f>
        <v>0</v>
      </c>
      <c r="E7" s="333">
        <f>('TCO Alt. 2 - SW'!I5+NPV(Faktory!$D$5,'TCO Alt. 2 - SW'!I6:I14)+'TCO Alt. 2 - SW'!I15+NPV(Faktory!$D$5,'TCO Alt. 2 - SW'!I16:I24))-('TCO Alt. 1 - SW'!H5+NPV(Faktory!$D$5,'TCO Alt. 1 - SW'!H6:H14)+'TCO Alt. 1 - SW'!H15+NPV(Faktory!$D$5,'TCO Alt. 1 - SW'!H16:H24))</f>
        <v>0</v>
      </c>
      <c r="F7" s="334">
        <f>('TCO Alt. 2 - SW'!K5+NPV(Faktory!$D$5,'TCO Alt. 2 - SW'!K6:K14)+'TCO Alt. 2 - SW'!K15+NPV(Faktory!$D$5,'TCO Alt. 2 - SW'!K16:K24))-('TCO Alt. 1 - SW'!J5+NPV(Faktory!$D$5,'TCO Alt. 1 - SW'!J6:J14)+'TCO Alt. 1 - SW'!J15+NPV(Faktory!$D$5,'TCO Alt. 1 - SW'!J16:J24))</f>
        <v>0</v>
      </c>
      <c r="G7" s="335">
        <f t="shared" si="1"/>
        <v>0</v>
      </c>
      <c r="K7" s="326"/>
      <c r="L7" s="327"/>
      <c r="M7" s="328" t="s">
        <v>66</v>
      </c>
      <c r="N7" s="333">
        <f>'TCO Alt. 2 - SW'!H4-'TCO Alt. 1 - SW'!G4</f>
        <v>0</v>
      </c>
      <c r="O7" s="333">
        <f>'TCO Alt. 2 - SW'!I4-'TCO Alt. 1 - SW'!H4</f>
        <v>0</v>
      </c>
      <c r="P7" s="333">
        <f>'TCO Alt. 2 - SW'!K4-'TCO Alt. 1 - SW'!J4</f>
        <v>0</v>
      </c>
      <c r="Q7" s="335">
        <f t="shared" si="3"/>
        <v>0</v>
      </c>
    </row>
    <row r="8" spans="1:18" x14ac:dyDescent="0.25">
      <c r="A8" s="326"/>
      <c r="B8" s="327"/>
      <c r="C8" s="328" t="s">
        <v>65</v>
      </c>
      <c r="D8" s="333">
        <f>('TCO Alt. 2 - HW'!F4+NPV(Faktory!$D$5,'TCO Alt. 2 - HW'!F5:F13)+'TCO Alt. 2 - HW'!F14+NPV(Faktory!$D$5,'TCO Alt. 2 - HW'!F15:F23)+'TCO Alt. 2 - HW'!F24+NPV(Faktory!$D$5,'TCO Alt. 2 - HW'!F25:F33))-('TCO Alt. 1 - HW'!F4+NPV(Faktory!$D$5,'TCO Alt. 1 - HW'!F5:F13)+'TCO Alt. 1 - HW'!F14+NPV(Faktory!$D$5,'TCO Alt. 1 - HW'!F15:F23)+'TCO Alt. 1 - HW'!F24+NPV(Faktory!$D$5,'TCO Alt. 1 - HW'!F25:F33))</f>
        <v>0</v>
      </c>
      <c r="E8" s="333">
        <f>('TCO Alt. 2 - HW'!G4+NPV(Faktory!$D$5,'TCO Alt. 2 - HW'!G5:G13)+'TCO Alt. 2 - HW'!G14+NPV(Faktory!$D$5,'TCO Alt. 2 - HW'!G15:G23)+'TCO Alt. 2 - HW'!G24+NPV(Faktory!$D$5,'TCO Alt. 2 - HW'!G25:G33))-('TCO Alt. 1 - HW'!G4+NPV(Faktory!$D$5,'TCO Alt. 1 - HW'!G5:G13)+'TCO Alt. 1 - HW'!G14+NPV(Faktory!$D$5,'TCO Alt. 1 - HW'!G15:G23)+'TCO Alt. 1 - HW'!G24+NPV(Faktory!$D$5,'TCO Alt. 1 - HW'!G25:G33))</f>
        <v>0</v>
      </c>
      <c r="F8" s="334">
        <f>('TCO Alt. 2 - HW'!I4+NPV(Faktory!$D$5,'TCO Alt. 2 - HW'!I5:I13)+'TCO Alt. 2 - HW'!I14+NPV(Faktory!$D$5,'TCO Alt. 2 - HW'!I15:I23)+'TCO Alt. 2 - HW'!I24+NPV(Faktory!$D$5,'TCO Alt. 2 - HW'!I25:I33))-('TCO Alt. 1 - HW'!I4+NPV(Faktory!$D$5,'TCO Alt. 1 - HW'!I5:I13)+'TCO Alt. 1 - HW'!I14+NPV(Faktory!$D$5,'TCO Alt. 1 - HW'!I15:I23)+'TCO Alt. 1 - HW'!I24+NPV(Faktory!$D$5,'TCO Alt. 1 - HW'!I25:I33))</f>
        <v>0</v>
      </c>
      <c r="G8" s="335">
        <f t="shared" si="1"/>
        <v>0</v>
      </c>
      <c r="K8" s="326"/>
      <c r="L8" s="327"/>
      <c r="M8" s="328" t="s">
        <v>65</v>
      </c>
      <c r="N8" s="333">
        <f>'TCO Alt. 2 - HW'!F3-'TCO Alt. 1 - HW'!F3</f>
        <v>0</v>
      </c>
      <c r="O8" s="333">
        <f>'TCO Alt. 2 - HW'!G3-'TCO Alt. 1 - HW'!G3</f>
        <v>0</v>
      </c>
      <c r="P8" s="333">
        <f>'TCO Alt. 2 - HW'!I3-'TCO Alt. 1 - HW'!I3</f>
        <v>0</v>
      </c>
      <c r="Q8" s="335">
        <f t="shared" si="3"/>
        <v>0</v>
      </c>
    </row>
    <row r="9" spans="1:18" x14ac:dyDescent="0.25">
      <c r="A9" s="325"/>
      <c r="B9" s="337" t="s">
        <v>164</v>
      </c>
      <c r="C9" s="338"/>
      <c r="D9" s="339">
        <f>SUM(D10:D12)</f>
        <v>-1349249.2633977439</v>
      </c>
      <c r="E9" s="339">
        <f t="shared" ref="E9:F9" si="6">SUM(E10:E12)</f>
        <v>263855.6945186939</v>
      </c>
      <c r="F9" s="340">
        <f t="shared" si="6"/>
        <v>667697.83680288284</v>
      </c>
      <c r="G9" s="341">
        <f t="shared" si="1"/>
        <v>-417695.73207616713</v>
      </c>
      <c r="K9" s="325"/>
      <c r="L9" s="337" t="s">
        <v>164</v>
      </c>
      <c r="M9" s="338"/>
      <c r="N9" s="339">
        <f>SUM(N10:N12)</f>
        <v>-2387609.7754434561</v>
      </c>
      <c r="O9" s="339">
        <f t="shared" ref="O9:P9" si="7">SUM(O10:O12)</f>
        <v>5479.5142721968141</v>
      </c>
      <c r="P9" s="340">
        <f t="shared" si="7"/>
        <v>13866.139341620781</v>
      </c>
      <c r="Q9" s="341">
        <f t="shared" si="3"/>
        <v>-2368264.1218296387</v>
      </c>
    </row>
    <row r="10" spans="1:18" x14ac:dyDescent="0.25">
      <c r="A10" s="326"/>
      <c r="B10" s="327"/>
      <c r="C10" s="328" t="s">
        <v>106</v>
      </c>
      <c r="D10" s="333">
        <f>('TCO Alt. 2 - SW'!H79+NPV(Faktory!$D$5,'TCO Alt. 2 - SW'!H80:H88)+'TCO Alt. 2 - SW'!H89+NPV(Faktory!$D$5,'TCO Alt. 2 - SW'!H90:H98)+'TCO Alt. 2 - SW'!H99+NPV(Faktory!$D$5,'TCO Alt. 2 - SW'!H100:H108)+'TCO Alt. 2 - SW'!H109+NPV(Faktory!$D$5,'TCO Alt. 2 - SW'!H110:H118)+'TCO Alt. 2 - SW'!H119+NPV(Faktory!$D$5,'TCO Alt. 2 - SW'!H120:H128))-('TCO Alt. 1 - SW'!G79+NPV(Faktory!$D$5,'TCO Alt. 1 - SW'!G80:G88)+'TCO Alt. 1 - SW'!G89+NPV(Faktory!$D$5,'TCO Alt. 1 - SW'!G90:G98)+'TCO Alt. 1 - SW'!G99+NPV(Faktory!$D$5,'TCO Alt. 1 - SW'!G100:G108)+'TCO Alt. 1 - SW'!G109+NPV(Faktory!$D$5,'TCO Alt. 1 - SW'!G110:G118)+'TCO Alt. 1 - SW'!G119+NPV(Faktory!$D$5,'TCO Alt. 1 - SW'!G120:G128))</f>
        <v>-1568052.5632943753</v>
      </c>
      <c r="E10" s="333">
        <f>('TCO Alt. 2 - SW'!I79+NPV(Faktory!$D$5,'TCO Alt. 2 - SW'!I80:I88)+'TCO Alt. 2 - SW'!I89+NPV(Faktory!$D$5,'TCO Alt. 2 - SW'!I90:I98)+'TCO Alt. 2 - SW'!I99+NPV(Faktory!$D$5,'TCO Alt. 2 - SW'!I100:I108)+'TCO Alt. 2 - SW'!I109+NPV(Faktory!$D$5,'TCO Alt. 2 - SW'!I110:I118)+'TCO Alt. 2 - SW'!I119+NPV(Faktory!$D$5,'TCO Alt. 2 - SW'!I120:I128))-('TCO Alt. 1 - SW'!H79+NPV(Faktory!$D$5,'TCO Alt. 1 - SW'!H80:H88)+'TCO Alt. 1 - SW'!H89+NPV(Faktory!$D$5,'TCO Alt. 1 - SW'!H90:H98)+'TCO Alt. 1 - SW'!H99+NPV(Faktory!$D$5,'TCO Alt. 1 - SW'!H100:H108)+'TCO Alt. 1 - SW'!H109+NPV(Faktory!$D$5,'TCO Alt. 1 - SW'!H110:H118)+'TCO Alt. 1 - SW'!H119+NPV(Faktory!$D$5,'TCO Alt. 1 - SW'!H120:H128))</f>
        <v>167091.03951862329</v>
      </c>
      <c r="F10" s="334">
        <f>('TCO Alt. 2 - SW'!K79+NPV(Faktory!$D$5,'TCO Alt. 2 - SW'!K80:K88)+'TCO Alt. 2 - SW'!K89+NPV(Faktory!$D$5,'TCO Alt. 2 - SW'!K90:K98)+'TCO Alt. 2 - SW'!K99+NPV(Faktory!$D$5,'TCO Alt. 2 - SW'!K100:K108)+'TCO Alt. 2 - SW'!K109+NPV(Faktory!$D$5,'TCO Alt. 2 - SW'!K110:K118)+'TCO Alt. 2 - SW'!K119+NPV(Faktory!$D$5,'TCO Alt. 2 - SW'!K120:K128))-('TCO Alt. 1 - SW'!J79+NPV(Faktory!$D$5,'TCO Alt. 1 - SW'!J80:J88)+'TCO Alt. 1 - SW'!J89+NPV(Faktory!$D$5,'TCO Alt. 1 - SW'!J90:J98)+'TCO Alt. 1 - SW'!J99+NPV(Faktory!$D$5,'TCO Alt. 1 - SW'!J100:J108)+'TCO Alt. 1 - SW'!J109+NPV(Faktory!$D$5,'TCO Alt. 1 - SW'!J110:J118)+'TCO Alt. 1 - SW'!J119+NPV(Faktory!$D$5,'TCO Alt. 1 - SW'!J120:J128))</f>
        <v>422830.84259083687</v>
      </c>
      <c r="G10" s="335">
        <f t="shared" si="1"/>
        <v>-978130.68118491513</v>
      </c>
      <c r="K10" s="326"/>
      <c r="L10" s="327"/>
      <c r="M10" s="328" t="s">
        <v>106</v>
      </c>
      <c r="N10" s="333">
        <f>'TCO Alt. 2 - SW'!H78-'TCO Alt. 1 - SW'!G78</f>
        <v>-2400000</v>
      </c>
      <c r="O10" s="333">
        <f>'TCO Alt. 2 - SW'!I78-'TCO Alt. 1 - SW'!H78</f>
        <v>0</v>
      </c>
      <c r="P10" s="333">
        <f>'TCO Alt. 2 - SW'!K78-'TCO Alt. 1 - SW'!J78</f>
        <v>0</v>
      </c>
      <c r="Q10" s="335">
        <f t="shared" si="3"/>
        <v>-2400000</v>
      </c>
    </row>
    <row r="11" spans="1:18" x14ac:dyDescent="0.25">
      <c r="A11" s="326"/>
      <c r="B11" s="327"/>
      <c r="C11" s="328" t="s">
        <v>66</v>
      </c>
      <c r="D11" s="333">
        <f>('TCO Alt. 2 - SW'!H58+NPV(Faktory!$D$5,'TCO Alt. 2 - SW'!H59:H67)+'TCO Alt. 2 - SW'!H68+NPV(Faktory!$D$5,'TCO Alt. 2 - SW'!H69:H77))-('TCO Alt. 1 - SW'!G58+NPV(Faktory!$D$5,'TCO Alt. 1 - SW'!G59:G67)+'TCO Alt. 1 - SW'!G68+NPV(Faktory!$D$5,'TCO Alt. 1 - SW'!G69:G77))</f>
        <v>218803.29989663145</v>
      </c>
      <c r="E11" s="333">
        <f>('TCO Alt. 2 - SW'!I58+NPV(Faktory!$D$5,'TCO Alt. 2 - SW'!I59:I67)+'TCO Alt. 2 - SW'!I68+NPV(Faktory!$D$5,'TCO Alt. 2 - SW'!I69:I77))-('TCO Alt. 1 - SW'!H58+NPV(Faktory!$D$5,'TCO Alt. 1 - SW'!H59:H67)+'TCO Alt. 1 - SW'!H68+NPV(Faktory!$D$5,'TCO Alt. 1 - SW'!H69:H77))</f>
        <v>96764.655000070605</v>
      </c>
      <c r="F11" s="334">
        <f>('TCO Alt. 2 - SW'!K58+NPV(Faktory!$D$5,'TCO Alt. 2 - SW'!K59:K67)+'TCO Alt. 2 - SW'!K68+NPV(Faktory!$D$5,'TCO Alt. 2 - SW'!K69:K77))-('TCO Alt. 1 - SW'!J58+NPV(Faktory!$D$5,'TCO Alt. 1 - SW'!J59:J67)+'TCO Alt. 1 - SW'!J68+NPV(Faktory!$D$5,'TCO Alt. 1 - SW'!J69:J77))</f>
        <v>244866.99421204603</v>
      </c>
      <c r="G11" s="335">
        <f t="shared" si="1"/>
        <v>560434.94910874811</v>
      </c>
      <c r="K11" s="326"/>
      <c r="L11" s="327"/>
      <c r="M11" s="328" t="s">
        <v>66</v>
      </c>
      <c r="N11" s="333">
        <f>'TCO Alt. 2 - SW'!H57-'TCO Alt. 1 - SW'!G57</f>
        <v>12390.224556543681</v>
      </c>
      <c r="O11" s="333">
        <f>'TCO Alt. 2 - SW'!I57-'TCO Alt. 1 - SW'!H57</f>
        <v>5479.5142721968141</v>
      </c>
      <c r="P11" s="333">
        <f>'TCO Alt. 2 - SW'!K57-'TCO Alt. 1 - SW'!J57</f>
        <v>13866.139341620781</v>
      </c>
      <c r="Q11" s="335">
        <f t="shared" si="3"/>
        <v>31735.878170361277</v>
      </c>
    </row>
    <row r="12" spans="1:18" x14ac:dyDescent="0.25">
      <c r="A12" s="326"/>
      <c r="B12" s="327"/>
      <c r="C12" s="328" t="s">
        <v>65</v>
      </c>
      <c r="D12" s="333">
        <f>('TCO Alt. 2 - HW'!F35+NPV(Faktory!$D$5,'TCO Alt. 2 - HW'!F36:F44)+'TCO Alt. 2 - HW'!F45+NPV(Faktory!$D$5,'TCO Alt. 2 - HW'!F46:F54)+'TCO Alt. 2 - HW'!F55+NPV(Faktory!$D$5,'TCO Alt. 2 - HW'!F56:F64)+'TCO Alt. 2 - HW'!F65+NPV(Faktory!$D$5,'TCO Alt. 2 - HW'!F66:F74)+'TCO Alt. 2 - HW'!F75+NPV(Faktory!$D$5,'TCO Alt. 2 - HW'!F76:F84))-('TCO Alt. 1 - HW'!F35+NPV(Faktory!$D$5,'TCO Alt. 1 - HW'!F36:F44)+'TCO Alt. 1 - HW'!F45+NPV(Faktory!$D$5,'TCO Alt. 1 - HW'!F46:F54)+'TCO Alt. 1 - HW'!F55+NPV(Faktory!$D$5,'TCO Alt. 1 - HW'!F56:F64)+'TCO Alt. 1 - HW'!F65+NPV(Faktory!$D$5,'TCO Alt. 1 - HW'!F66:F74)+'TCO Alt. 1 - HW'!F75+NPV(Faktory!$D$5,'TCO Alt. 1 - HW'!F76:F84))</f>
        <v>0</v>
      </c>
      <c r="E12" s="333">
        <f>('TCO Alt. 2 - HW'!G35+NPV(Faktory!$D$5,'TCO Alt. 2 - HW'!G36:G44)+'TCO Alt. 2 - HW'!G45+NPV(Faktory!$D$5,'TCO Alt. 2 - HW'!G46:G54)+'TCO Alt. 2 - HW'!G55+NPV(Faktory!$D$5,'TCO Alt. 2 - HW'!G56:G64)+'TCO Alt. 2 - HW'!G65+NPV(Faktory!$D$5,'TCO Alt. 2 - HW'!G66:G74)+'TCO Alt. 2 - HW'!G75+NPV(Faktory!$D$5,'TCO Alt. 2 - HW'!G76:G84))-('TCO Alt. 1 - HW'!G35+NPV(Faktory!$D$5,'TCO Alt. 1 - HW'!G36:G44)+'TCO Alt. 1 - HW'!G45+NPV(Faktory!$D$5,'TCO Alt. 1 - HW'!G46:G54)+'TCO Alt. 1 - HW'!G55+NPV(Faktory!$D$5,'TCO Alt. 1 - HW'!G56:G64)+'TCO Alt. 1 - HW'!G65+NPV(Faktory!$D$5,'TCO Alt. 1 - HW'!G66:G74)+'TCO Alt. 1 - HW'!G75+NPV(Faktory!$D$5,'TCO Alt. 1 - HW'!G76:G84))</f>
        <v>0</v>
      </c>
      <c r="F12" s="334">
        <f>('TCO Alt. 2 - HW'!I35+NPV(Faktory!$D$5,'TCO Alt. 2 - HW'!I36:I44)+'TCO Alt. 2 - HW'!I45+NPV(Faktory!$D$5,'TCO Alt. 2 - HW'!I46:I54)+'TCO Alt. 2 - HW'!I55+NPV(Faktory!$D$5,'TCO Alt. 2 - HW'!I56:I64)+'TCO Alt. 2 - HW'!I65+NPV(Faktory!$D$5,'TCO Alt. 2 - HW'!I66:I74)+'TCO Alt. 2 - HW'!I75+NPV(Faktory!$D$5,'TCO Alt. 2 - HW'!I76:I84))-('TCO Alt. 1 - HW'!I35+NPV(Faktory!$D$5,'TCO Alt. 1 - HW'!I36:I44)+'TCO Alt. 1 - HW'!I45+NPV(Faktory!$D$5,'TCO Alt. 1 - HW'!I46:I54)+'TCO Alt. 1 - HW'!I55+NPV(Faktory!$D$5,'TCO Alt. 1 - HW'!I56:I64)+'TCO Alt. 1 - HW'!I65+NPV(Faktory!$D$5,'TCO Alt. 1 - HW'!I66:I74)+'TCO Alt. 1 - HW'!I75+NPV(Faktory!$D$5,'TCO Alt. 1 - HW'!I76:I84))</f>
        <v>0</v>
      </c>
      <c r="G12" s="335">
        <f t="shared" si="1"/>
        <v>0</v>
      </c>
      <c r="K12" s="326"/>
      <c r="L12" s="327"/>
      <c r="M12" s="328" t="s">
        <v>65</v>
      </c>
      <c r="N12" s="333">
        <f>'TCO Alt. 2 - HW'!F34-'TCO Alt. 1 - HW'!F34</f>
        <v>0</v>
      </c>
      <c r="O12" s="333">
        <f>'TCO Alt. 2 - HW'!G34-'TCO Alt. 1 - HW'!G34</f>
        <v>0</v>
      </c>
      <c r="P12" s="333">
        <f>'TCO Alt. 2 - HW'!I34-'TCO Alt. 1 - HW'!I34</f>
        <v>0</v>
      </c>
      <c r="Q12" s="335">
        <f t="shared" si="3"/>
        <v>0</v>
      </c>
    </row>
    <row r="13" spans="1:18" x14ac:dyDescent="0.25">
      <c r="A13" s="322" t="s">
        <v>157</v>
      </c>
      <c r="B13" s="323"/>
      <c r="C13" s="324"/>
      <c r="D13" s="329">
        <f>D14+D17</f>
        <v>10604595.288917564</v>
      </c>
      <c r="E13" s="329">
        <f t="shared" ref="E13:F13" si="8">E14+E17</f>
        <v>0</v>
      </c>
      <c r="F13" s="330">
        <f t="shared" si="8"/>
        <v>0</v>
      </c>
      <c r="G13" s="332">
        <f t="shared" si="1"/>
        <v>10604595.288917564</v>
      </c>
      <c r="K13" s="322" t="s">
        <v>157</v>
      </c>
      <c r="L13" s="323"/>
      <c r="M13" s="324"/>
      <c r="N13" s="329">
        <f>N14+N17</f>
        <v>13782402.613466667</v>
      </c>
      <c r="O13" s="329">
        <f t="shared" ref="O13:P13" si="9">O14+O17</f>
        <v>0</v>
      </c>
      <c r="P13" s="330">
        <f t="shared" si="9"/>
        <v>0</v>
      </c>
      <c r="Q13" s="332">
        <f t="shared" si="3"/>
        <v>13782402.613466667</v>
      </c>
    </row>
    <row r="14" spans="1:18" x14ac:dyDescent="0.25">
      <c r="A14" s="325"/>
      <c r="B14" s="337" t="s">
        <v>16</v>
      </c>
      <c r="C14" s="338"/>
      <c r="D14" s="339">
        <f>D15+D16</f>
        <v>0</v>
      </c>
      <c r="E14" s="339">
        <f t="shared" ref="E14:F14" si="10">E15+E16</f>
        <v>0</v>
      </c>
      <c r="F14" s="340">
        <f t="shared" si="10"/>
        <v>0</v>
      </c>
      <c r="G14" s="341">
        <f t="shared" si="1"/>
        <v>0</v>
      </c>
      <c r="K14" s="325"/>
      <c r="L14" s="337" t="s">
        <v>16</v>
      </c>
      <c r="M14" s="338"/>
      <c r="N14" s="339">
        <f>N15+N16</f>
        <v>0</v>
      </c>
      <c r="O14" s="339">
        <f t="shared" ref="O14:P14" si="11">O15+O16</f>
        <v>0</v>
      </c>
      <c r="P14" s="340">
        <f t="shared" si="11"/>
        <v>0</v>
      </c>
      <c r="Q14" s="341">
        <f t="shared" si="3"/>
        <v>0</v>
      </c>
    </row>
    <row r="15" spans="1:18" x14ac:dyDescent="0.25">
      <c r="A15" s="326"/>
      <c r="B15" s="327"/>
      <c r="C15" s="328" t="s">
        <v>47</v>
      </c>
      <c r="D15" s="333">
        <f>'Parametre - Agendové IS'!I116+NPV(Faktory!$D$3,'Parametre - Agendové IS'!I117:I125)</f>
        <v>0</v>
      </c>
      <c r="E15" s="333">
        <f>'Parametre - Agendové IS'!O116+NPV(Faktory!$D$3,'Parametre - Agendové IS'!O117:O125)</f>
        <v>0</v>
      </c>
      <c r="F15" s="334">
        <f>'Parametre - Agendové IS'!R116+NPV(Faktory!$D$3,'Parametre - Agendové IS'!R117:R125)</f>
        <v>0</v>
      </c>
      <c r="G15" s="335">
        <f t="shared" si="1"/>
        <v>0</v>
      </c>
      <c r="K15" s="326"/>
      <c r="L15" s="327"/>
      <c r="M15" s="328" t="s">
        <v>47</v>
      </c>
      <c r="N15" s="333">
        <f>SUM('Parametre - Agendové IS'!I116:I125)</f>
        <v>0</v>
      </c>
      <c r="O15" s="333">
        <f>SUM('Parametre - Agendové IS'!O116:O125)</f>
        <v>0</v>
      </c>
      <c r="P15" s="334">
        <f>SUM('Parametre - Agendové IS'!R116:R125)</f>
        <v>0</v>
      </c>
      <c r="Q15" s="335">
        <f t="shared" si="3"/>
        <v>0</v>
      </c>
    </row>
    <row r="16" spans="1:18" x14ac:dyDescent="0.25">
      <c r="A16" s="326"/>
      <c r="B16" s="327"/>
      <c r="C16" s="328" t="s">
        <v>48</v>
      </c>
      <c r="D16" s="333"/>
      <c r="E16" s="333"/>
      <c r="F16" s="334"/>
      <c r="G16" s="335">
        <f>'Prínosy - Agendové IS'!G15</f>
        <v>0</v>
      </c>
      <c r="H16" s="346"/>
      <c r="K16" s="326"/>
      <c r="L16" s="327"/>
      <c r="M16" s="328" t="s">
        <v>48</v>
      </c>
      <c r="N16" s="333"/>
      <c r="O16" s="333"/>
      <c r="P16" s="334"/>
      <c r="Q16" s="335">
        <f>'Prínosy - Agendové IS'!G14</f>
        <v>0</v>
      </c>
      <c r="R16" s="346"/>
    </row>
    <row r="17" spans="1:17" x14ac:dyDescent="0.25">
      <c r="A17" s="325"/>
      <c r="B17" s="337" t="s">
        <v>17</v>
      </c>
      <c r="C17" s="338"/>
      <c r="D17" s="339">
        <f>D18+D19+D21</f>
        <v>10604595.288917564</v>
      </c>
      <c r="E17" s="339">
        <f t="shared" ref="E17:F17" si="12">E18+E19+E21</f>
        <v>0</v>
      </c>
      <c r="F17" s="340">
        <f t="shared" si="12"/>
        <v>0</v>
      </c>
      <c r="G17" s="341">
        <f>SUM(D17:F17)</f>
        <v>10604595.288917564</v>
      </c>
      <c r="K17" s="325"/>
      <c r="L17" s="337" t="s">
        <v>17</v>
      </c>
      <c r="M17" s="338"/>
      <c r="N17" s="339">
        <f>N18+N19+N21</f>
        <v>13782402.613466667</v>
      </c>
      <c r="O17" s="339">
        <f t="shared" ref="O17:P17" si="13">O18+O19+O21</f>
        <v>0</v>
      </c>
      <c r="P17" s="340">
        <f t="shared" si="13"/>
        <v>0</v>
      </c>
      <c r="Q17" s="341">
        <f>SUM(N17:P17)</f>
        <v>13782402.613466667</v>
      </c>
    </row>
    <row r="18" spans="1:17" x14ac:dyDescent="0.25">
      <c r="A18" s="326"/>
      <c r="B18" s="327"/>
      <c r="C18" s="328" t="s">
        <v>159</v>
      </c>
      <c r="D18" s="333">
        <f>'Parametre - Agendové IS'!I96+NPV(Faktory!$D$5,'Parametre - Agendové IS'!I97:I105)</f>
        <v>0</v>
      </c>
      <c r="E18" s="333">
        <f>'Parametre - Agendové IS'!O96+NPV(Faktory!$D$5,'Parametre - Agendové IS'!O97:O105)</f>
        <v>0</v>
      </c>
      <c r="F18" s="334">
        <f>'Parametre - Agendové IS'!R96+NPV(Faktory!$D$5,'Parametre - Agendové IS'!R97:R105)</f>
        <v>0</v>
      </c>
      <c r="G18" s="335">
        <f>SUM(D18:F18)</f>
        <v>0</v>
      </c>
      <c r="K18" s="326"/>
      <c r="L18" s="327"/>
      <c r="M18" s="328" t="s">
        <v>159</v>
      </c>
      <c r="N18" s="333">
        <f>SUM('Parametre - Agendové IS'!I96:I105)</f>
        <v>0</v>
      </c>
      <c r="O18" s="333">
        <f>SUM('Parametre - Agendové IS'!O96:O105)</f>
        <v>0</v>
      </c>
      <c r="P18" s="334">
        <f>SUM('Parametre - Agendové IS'!R96:R105)</f>
        <v>0</v>
      </c>
      <c r="Q18" s="335">
        <f>SUM(N18:P18)</f>
        <v>0</v>
      </c>
    </row>
    <row r="19" spans="1:17" x14ac:dyDescent="0.25">
      <c r="A19" s="326"/>
      <c r="B19" s="327"/>
      <c r="C19" s="328" t="s">
        <v>158</v>
      </c>
      <c r="D19" s="333">
        <f>-('Parametre - Agendové IS'!I76+NPV(Faktory!$D$5,'Parametre - Agendové IS'!I77:I85))</f>
        <v>10604595.288917564</v>
      </c>
      <c r="E19" s="333">
        <f>-('Parametre - Agendové IS'!O76+NPV(Faktory!$D$5,'Parametre - Agendové IS'!O77:O85))</f>
        <v>0</v>
      </c>
      <c r="F19" s="334">
        <f>-('Parametre - Agendové IS'!R76+NPV(Faktory!$D$5,'Parametre - Agendové IS'!R77:R85))</f>
        <v>0</v>
      </c>
      <c r="G19" s="335">
        <f>SUM(D19:F19)</f>
        <v>10604595.288917564</v>
      </c>
      <c r="K19" s="326"/>
      <c r="L19" s="327"/>
      <c r="M19" s="328" t="s">
        <v>158</v>
      </c>
      <c r="N19" s="333">
        <f>-(SUM('Parametre - Agendové IS'!I76:I85))</f>
        <v>13782402.613466667</v>
      </c>
      <c r="O19" s="333">
        <f>-(SUM('Parametre - Agendové IS'!O76:O85))</f>
        <v>0</v>
      </c>
      <c r="P19" s="334">
        <f>-(SUM('Parametre - Agendové IS'!R76:R85))</f>
        <v>0</v>
      </c>
      <c r="Q19" s="335">
        <f>SUM(N19:P19)</f>
        <v>13782402.613466667</v>
      </c>
    </row>
    <row r="20" spans="1:17" x14ac:dyDescent="0.25">
      <c r="A20" s="326"/>
      <c r="B20" s="327"/>
      <c r="C20" s="328" t="s">
        <v>160</v>
      </c>
      <c r="D20" s="343" t="s">
        <v>165</v>
      </c>
      <c r="E20" s="343" t="s">
        <v>165</v>
      </c>
      <c r="F20" s="344" t="s">
        <v>165</v>
      </c>
      <c r="G20" s="345" t="s">
        <v>165</v>
      </c>
      <c r="K20" s="326"/>
      <c r="L20" s="327"/>
      <c r="M20" s="328" t="s">
        <v>160</v>
      </c>
      <c r="N20" s="333">
        <f>SUM('Parametre - Agendové IS'!I86:I95)</f>
        <v>-472.91027983539101</v>
      </c>
      <c r="O20" s="333">
        <f>SUM('Parametre - Agendové IS'!O86:O95)</f>
        <v>0</v>
      </c>
      <c r="P20" s="334">
        <f>SUM('Parametre - Agendové IS'!R86:R95)</f>
        <v>0</v>
      </c>
      <c r="Q20" s="335">
        <f>SUM(N20:P20)</f>
        <v>-472.91027983539101</v>
      </c>
    </row>
    <row r="21" spans="1:17" ht="15.75" thickBot="1" x14ac:dyDescent="0.3">
      <c r="A21" s="350"/>
      <c r="B21" s="351"/>
      <c r="C21" s="352" t="s">
        <v>41</v>
      </c>
      <c r="D21" s="417">
        <f>'Parametre - Agendové IS'!I126+NPV(Faktory!$D$5,'Parametre - Agendové IS'!I127:I135)</f>
        <v>0</v>
      </c>
      <c r="E21" s="417">
        <f>'Parametre - Agendové IS'!O126+NPV(Faktory!$D$5,'Parametre - Agendové IS'!O127:O135)</f>
        <v>0</v>
      </c>
      <c r="F21" s="418">
        <f>'Parametre - Agendové IS'!R126+NPV(Faktory!$D$5,'Parametre - Agendové IS'!R127:R135)</f>
        <v>0</v>
      </c>
      <c r="G21" s="419">
        <f>SUM(D21:F21)</f>
        <v>0</v>
      </c>
      <c r="K21" s="326"/>
      <c r="L21" s="327"/>
      <c r="M21" s="328" t="s">
        <v>41</v>
      </c>
      <c r="N21" s="333">
        <f>SUM('Parametre - Agendové IS'!I126:I135)</f>
        <v>0</v>
      </c>
      <c r="O21" s="333">
        <f>SUM('Parametre - Agendové IS'!O126:O135)</f>
        <v>0</v>
      </c>
      <c r="P21" s="334">
        <f>SUM('Parametre - Agendové IS'!R126:R135)</f>
        <v>0</v>
      </c>
      <c r="Q21" s="336">
        <f>SUM(N21:P21)</f>
        <v>0</v>
      </c>
    </row>
    <row r="22" spans="1:17" x14ac:dyDescent="0.25">
      <c r="A22" s="353"/>
      <c r="B22" s="337" t="s">
        <v>166</v>
      </c>
      <c r="C22" s="338"/>
      <c r="D22" s="420"/>
      <c r="E22" s="420"/>
      <c r="F22" s="421"/>
      <c r="G22" s="422"/>
      <c r="K22" s="353"/>
      <c r="L22" s="337" t="s">
        <v>166</v>
      </c>
      <c r="M22" s="338"/>
      <c r="N22" s="420"/>
      <c r="O22" s="420"/>
      <c r="P22" s="421"/>
      <c r="Q22" s="422"/>
    </row>
    <row r="23" spans="1:17" x14ac:dyDescent="0.25">
      <c r="A23" s="354"/>
      <c r="B23" s="355"/>
      <c r="C23" s="356" t="s">
        <v>170</v>
      </c>
      <c r="D23" s="283"/>
      <c r="E23" s="283"/>
      <c r="F23" s="411"/>
      <c r="G23" s="423"/>
      <c r="K23" s="354"/>
      <c r="L23" s="355"/>
      <c r="M23" s="356" t="s">
        <v>170</v>
      </c>
      <c r="N23" s="283"/>
      <c r="O23" s="283"/>
      <c r="P23" s="411"/>
      <c r="Q23" s="423"/>
    </row>
    <row r="24" spans="1:17" x14ac:dyDescent="0.25">
      <c r="A24" s="354"/>
      <c r="B24" s="355"/>
      <c r="C24" s="357" t="s">
        <v>167</v>
      </c>
      <c r="D24" s="283"/>
      <c r="E24" s="283"/>
      <c r="F24" s="411"/>
      <c r="G24" s="423"/>
      <c r="K24" s="354"/>
      <c r="L24" s="355"/>
      <c r="M24" s="357" t="s">
        <v>167</v>
      </c>
      <c r="N24" s="283"/>
      <c r="O24" s="283"/>
      <c r="P24" s="411"/>
      <c r="Q24" s="423"/>
    </row>
    <row r="25" spans="1:17" ht="15.75" thickBot="1" x14ac:dyDescent="0.3">
      <c r="A25" s="354"/>
      <c r="B25" s="355"/>
      <c r="C25" s="357" t="s">
        <v>167</v>
      </c>
      <c r="D25" s="283"/>
      <c r="E25" s="283"/>
      <c r="F25" s="411"/>
      <c r="G25" s="410"/>
      <c r="K25" s="354"/>
      <c r="L25" s="355"/>
      <c r="M25" s="357" t="s">
        <v>167</v>
      </c>
      <c r="N25" s="283"/>
      <c r="O25" s="283"/>
      <c r="P25" s="411"/>
      <c r="Q25" s="410"/>
    </row>
    <row r="26" spans="1:17" x14ac:dyDescent="0.25">
      <c r="C26" s="204"/>
      <c r="M26" s="204"/>
    </row>
    <row r="27" spans="1:17" x14ac:dyDescent="0.25">
      <c r="C27" s="204"/>
      <c r="M27" s="204"/>
    </row>
    <row r="28" spans="1:17" x14ac:dyDescent="0.25">
      <c r="C28" s="204"/>
    </row>
    <row r="30" spans="1:17" x14ac:dyDescent="0.25">
      <c r="J30" s="348"/>
      <c r="K30" s="348"/>
    </row>
  </sheetData>
  <mergeCells count="4">
    <mergeCell ref="K1:M1"/>
    <mergeCell ref="A1:C1"/>
    <mergeCell ref="K2:M2"/>
    <mergeCell ref="A2:C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2"/>
  <sheetViews>
    <sheetView workbookViewId="0">
      <selection activeCell="L36" sqref="L36"/>
    </sheetView>
  </sheetViews>
  <sheetFormatPr defaultColWidth="8.85546875" defaultRowHeight="15" x14ac:dyDescent="0.25"/>
  <cols>
    <col min="1" max="1" width="9.28515625" customWidth="1"/>
    <col min="2" max="2" width="15" customWidth="1"/>
    <col min="3" max="3" width="15.140625" customWidth="1"/>
    <col min="4" max="4" width="14.140625" customWidth="1"/>
    <col min="5" max="5" width="14.42578125" customWidth="1"/>
    <col min="6" max="6" width="15.140625" customWidth="1"/>
    <col min="7" max="7" width="13.7109375" customWidth="1"/>
    <col min="8" max="8" width="9.85546875" customWidth="1"/>
    <col min="9" max="9" width="22.7109375" customWidth="1"/>
    <col min="10" max="10" width="25" customWidth="1"/>
    <col min="11" max="11" width="20.42578125" customWidth="1"/>
    <col min="12" max="12" width="23.140625" customWidth="1"/>
  </cols>
  <sheetData>
    <row r="1" spans="1:12" ht="15.75" thickBot="1" x14ac:dyDescent="0.3">
      <c r="A1" s="13"/>
      <c r="B1" s="625" t="s">
        <v>37</v>
      </c>
      <c r="C1" s="626"/>
      <c r="D1" s="626"/>
      <c r="E1" s="626"/>
      <c r="F1" s="626"/>
      <c r="G1" s="627"/>
      <c r="H1" s="628" t="s">
        <v>15</v>
      </c>
      <c r="I1" s="629"/>
      <c r="J1" s="629"/>
      <c r="K1" s="629"/>
      <c r="L1" s="630"/>
    </row>
    <row r="2" spans="1:12" ht="30" x14ac:dyDescent="0.25">
      <c r="A2" s="14"/>
      <c r="B2" s="628" t="s">
        <v>38</v>
      </c>
      <c r="C2" s="629"/>
      <c r="D2" s="630"/>
      <c r="E2" s="628" t="s">
        <v>39</v>
      </c>
      <c r="F2" s="629"/>
      <c r="G2" s="630"/>
      <c r="H2" s="66" t="s">
        <v>18</v>
      </c>
      <c r="I2" s="61" t="s">
        <v>19</v>
      </c>
      <c r="J2" s="16" t="s">
        <v>20</v>
      </c>
      <c r="K2" s="631" t="s">
        <v>21</v>
      </c>
      <c r="L2" s="632"/>
    </row>
    <row r="3" spans="1:12" ht="15.75" thickBot="1" x14ac:dyDescent="0.3">
      <c r="A3" s="15" t="s">
        <v>22</v>
      </c>
      <c r="B3" s="18" t="s">
        <v>23</v>
      </c>
      <c r="C3" s="19" t="s">
        <v>24</v>
      </c>
      <c r="D3" s="20" t="s">
        <v>25</v>
      </c>
      <c r="E3" s="18" t="s">
        <v>23</v>
      </c>
      <c r="F3" s="19" t="s">
        <v>24</v>
      </c>
      <c r="G3" s="20" t="s">
        <v>25</v>
      </c>
      <c r="H3" s="67"/>
      <c r="I3" s="62"/>
      <c r="J3" s="17"/>
      <c r="K3" s="623"/>
      <c r="L3" s="624"/>
    </row>
    <row r="4" spans="1:12" x14ac:dyDescent="0.25">
      <c r="A4" s="60" t="s">
        <v>26</v>
      </c>
      <c r="B4" s="35">
        <f>'Prínosy - Agendové IS'!Q4-'Výdavky - Agendové IS'!N4</f>
        <v>-961274.02913346863</v>
      </c>
      <c r="C4" s="34">
        <f>'Prínosy - Agendové IS'!R4-'Výdavky - Agendové IS'!O4</f>
        <v>-5013320.5591334691</v>
      </c>
      <c r="D4" s="44">
        <f>C4-B4</f>
        <v>-4052046.5300000003</v>
      </c>
      <c r="E4" s="35">
        <f>'Prínosy - Agendové IS'!T4-'Výdavky - Agendové IS'!N4</f>
        <v>-5101930.355816802</v>
      </c>
      <c r="F4" s="35">
        <f>'Prínosy - Agendové IS'!U4-'Výdavky - Agendové IS'!O4</f>
        <v>-9153976.8858168032</v>
      </c>
      <c r="G4" s="44">
        <f t="shared" ref="G4:G13" si="0">F4-E4</f>
        <v>-4052046.5300000012</v>
      </c>
      <c r="H4" s="68">
        <v>0</v>
      </c>
      <c r="I4" s="63">
        <f>D4*(1/(1+Faktory!$D$3)^H4)</f>
        <v>-4052046.5300000003</v>
      </c>
      <c r="J4" s="70">
        <f>G4*(1/(1+Faktory!$D$5)^H4)</f>
        <v>-4052046.5300000012</v>
      </c>
      <c r="K4" s="69">
        <f>J4</f>
        <v>-4052046.5300000012</v>
      </c>
      <c r="L4" s="40" t="str">
        <f>IF(K4&gt;0,"Rok návratu investície","&lt;")</f>
        <v>&lt;</v>
      </c>
    </row>
    <row r="5" spans="1:12" x14ac:dyDescent="0.25">
      <c r="A5" s="42" t="s">
        <v>27</v>
      </c>
      <c r="B5" s="35">
        <f>'Prínosy - Agendové IS'!Q5-'Výdavky - Agendové IS'!N5</f>
        <v>-961274.02913346863</v>
      </c>
      <c r="C5" s="34">
        <f>'Prínosy - Agendové IS'!R5-'Výdavky - Agendové IS'!O5</f>
        <v>-2258739.7591334684</v>
      </c>
      <c r="D5" s="37">
        <f t="shared" ref="D5:D13" si="1">C5-B5</f>
        <v>-1297465.7299999997</v>
      </c>
      <c r="E5" s="35">
        <f>'Prínosy - Agendové IS'!T5-'Výdavky - Agendové IS'!N5</f>
        <v>-5101930.355816802</v>
      </c>
      <c r="F5" s="35">
        <f>'Prínosy - Agendové IS'!U5-'Výdavky - Agendové IS'!O5</f>
        <v>-6399396.0858168025</v>
      </c>
      <c r="G5" s="37">
        <f t="shared" si="0"/>
        <v>-1297465.7300000004</v>
      </c>
      <c r="H5" s="68">
        <v>1</v>
      </c>
      <c r="I5" s="64">
        <f>D5*(1/(1+Faktory!$D$3)^H5)</f>
        <v>-1247563.2019230765</v>
      </c>
      <c r="J5" s="71">
        <f>G5*(1/(1+Faktory!$D$5)^H5)</f>
        <v>-1235681.6476190479</v>
      </c>
      <c r="K5" s="69">
        <f>J5+K4</f>
        <v>-5287728.1776190493</v>
      </c>
      <c r="L5" s="40" t="str">
        <f>IF(L4="&lt;",IF(K5&gt;0,"Rok návratu investície","&lt;"),"&gt;")</f>
        <v>&lt;</v>
      </c>
    </row>
    <row r="6" spans="1:12" x14ac:dyDescent="0.25">
      <c r="A6" s="42" t="s">
        <v>28</v>
      </c>
      <c r="B6" s="35">
        <f>'Prínosy - Agendové IS'!Q6-'Výdavky - Agendové IS'!N6</f>
        <v>-961274.02913346863</v>
      </c>
      <c r="C6" s="34">
        <f>'Prínosy - Agendové IS'!R6-'Výdavky - Agendové IS'!O6</f>
        <v>-1244749.3782934686</v>
      </c>
      <c r="D6" s="37">
        <f t="shared" si="1"/>
        <v>-283475.34915999998</v>
      </c>
      <c r="E6" s="35">
        <f>'Prínosy - Agendové IS'!T6-'Výdavky - Agendové IS'!N6</f>
        <v>-5101930.355816802</v>
      </c>
      <c r="F6" s="35">
        <f>'Prínosy - Agendové IS'!U6-'Výdavky - Agendové IS'!O6</f>
        <v>-3662605.3782934686</v>
      </c>
      <c r="G6" s="37">
        <f t="shared" si="0"/>
        <v>1439324.9775233334</v>
      </c>
      <c r="H6" s="68">
        <v>2</v>
      </c>
      <c r="I6" s="64">
        <f>D6*(1/(1+Faktory!$D$3)^H6)</f>
        <v>-262088.89530325439</v>
      </c>
      <c r="J6" s="71">
        <f>G6*(1/(1+Faktory!$D$5)^H6)</f>
        <v>1305510.1836946334</v>
      </c>
      <c r="K6" s="69">
        <f t="shared" ref="K6:K13" si="2">J6+K5</f>
        <v>-3982217.9939244157</v>
      </c>
      <c r="L6" s="40" t="str">
        <f t="shared" ref="L6:L13" si="3">IF(L5="&lt;",IF(K6&gt;0,"Rok návratu investície","&lt;"),"&gt;")</f>
        <v>&lt;</v>
      </c>
    </row>
    <row r="7" spans="1:12" x14ac:dyDescent="0.25">
      <c r="A7" s="42" t="s">
        <v>29</v>
      </c>
      <c r="B7" s="35">
        <f>'Prínosy - Agendové IS'!Q7-'Výdavky - Agendové IS'!N7</f>
        <v>-961274.02913346863</v>
      </c>
      <c r="C7" s="34">
        <f>'Prínosy - Agendové IS'!R7-'Výdavky - Agendové IS'!O7</f>
        <v>-1244749.3782934686</v>
      </c>
      <c r="D7" s="37">
        <f t="shared" si="1"/>
        <v>-283475.34915999998</v>
      </c>
      <c r="E7" s="35">
        <f>'Prínosy - Agendové IS'!T7-'Výdavky - Agendové IS'!N7</f>
        <v>-5101930.355816802</v>
      </c>
      <c r="F7" s="35">
        <f>'Prínosy - Agendové IS'!U7-'Výdavky - Agendové IS'!O7</f>
        <v>-3662605.3782934686</v>
      </c>
      <c r="G7" s="37">
        <f t="shared" si="0"/>
        <v>1439324.9775233334</v>
      </c>
      <c r="H7" s="68">
        <v>3</v>
      </c>
      <c r="I7" s="64">
        <f>D7*(1/(1+Faktory!$D$3)^H7)</f>
        <v>-252008.55317620616</v>
      </c>
      <c r="J7" s="71">
        <f>G7*(1/(1+Faktory!$D$5)^H7)</f>
        <v>1243343.032090127</v>
      </c>
      <c r="K7" s="69">
        <f t="shared" si="2"/>
        <v>-2738874.9618342887</v>
      </c>
      <c r="L7" s="40" t="str">
        <f t="shared" si="3"/>
        <v>&lt;</v>
      </c>
    </row>
    <row r="8" spans="1:12" x14ac:dyDescent="0.25">
      <c r="A8" s="42" t="s">
        <v>30</v>
      </c>
      <c r="B8" s="35">
        <f>'Prínosy - Agendové IS'!Q8-'Výdavky - Agendové IS'!N8</f>
        <v>-961274.02913346863</v>
      </c>
      <c r="C8" s="34">
        <f>'Prínosy - Agendové IS'!R8-'Výdavky - Agendové IS'!O8</f>
        <v>-1244749.3782934686</v>
      </c>
      <c r="D8" s="37">
        <f t="shared" si="1"/>
        <v>-283475.34915999998</v>
      </c>
      <c r="E8" s="35">
        <f>'Prínosy - Agendové IS'!T8-'Výdavky - Agendové IS'!N8</f>
        <v>-5101930.355816802</v>
      </c>
      <c r="F8" s="35">
        <f>'Prínosy - Agendové IS'!U8-'Výdavky - Agendové IS'!O8</f>
        <v>-3662605.3782934686</v>
      </c>
      <c r="G8" s="37">
        <f t="shared" si="0"/>
        <v>1439324.9775233334</v>
      </c>
      <c r="H8" s="68">
        <v>4</v>
      </c>
      <c r="I8" s="64">
        <f>D8*(1/(1+Faktory!$D$3)^H8)</f>
        <v>-242315.91651558282</v>
      </c>
      <c r="J8" s="71">
        <f>G8*(1/(1+Faktory!$D$5)^H8)</f>
        <v>1184136.2210382163</v>
      </c>
      <c r="K8" s="69">
        <f t="shared" si="2"/>
        <v>-1554738.7407960724</v>
      </c>
      <c r="L8" s="40" t="str">
        <f t="shared" si="3"/>
        <v>&lt;</v>
      </c>
    </row>
    <row r="9" spans="1:12" x14ac:dyDescent="0.25">
      <c r="A9" s="42" t="s">
        <v>31</v>
      </c>
      <c r="B9" s="35">
        <f>'Prínosy - Agendové IS'!Q9-'Výdavky - Agendové IS'!N9</f>
        <v>-961274.02913346863</v>
      </c>
      <c r="C9" s="34">
        <f>'Prínosy - Agendové IS'!R9-'Výdavky - Agendové IS'!O9</f>
        <v>-1244749.3782934686</v>
      </c>
      <c r="D9" s="37">
        <f t="shared" si="1"/>
        <v>-283475.34915999998</v>
      </c>
      <c r="E9" s="35">
        <f>'Prínosy - Agendové IS'!T9-'Výdavky - Agendové IS'!N9</f>
        <v>-5101930.355816802</v>
      </c>
      <c r="F9" s="35">
        <f>'Prínosy - Agendové IS'!U9-'Výdavky - Agendové IS'!O9</f>
        <v>-3662605.3782934686</v>
      </c>
      <c r="G9" s="37">
        <f t="shared" si="0"/>
        <v>1439324.9775233334</v>
      </c>
      <c r="H9" s="68">
        <v>5</v>
      </c>
      <c r="I9" s="64">
        <f>D9*(1/(1+Faktory!$D$3)^H9)</f>
        <v>-232996.07357267576</v>
      </c>
      <c r="J9" s="71">
        <f>G9*(1/(1+Faktory!$D$5)^H9)</f>
        <v>1127748.7819411582</v>
      </c>
      <c r="K9" s="69">
        <f t="shared" si="2"/>
        <v>-426989.95885491418</v>
      </c>
      <c r="L9" s="40" t="str">
        <f t="shared" si="3"/>
        <v>&lt;</v>
      </c>
    </row>
    <row r="10" spans="1:12" x14ac:dyDescent="0.25">
      <c r="A10" s="42" t="s">
        <v>32</v>
      </c>
      <c r="B10" s="35">
        <f>'Prínosy - Agendové IS'!Q10-'Výdavky - Agendové IS'!N10</f>
        <v>-961274.02913346863</v>
      </c>
      <c r="C10" s="34">
        <f>'Prínosy - Agendové IS'!R10-'Výdavky - Agendové IS'!O10</f>
        <v>-1244749.3782934686</v>
      </c>
      <c r="D10" s="37">
        <f t="shared" si="1"/>
        <v>-283475.34915999998</v>
      </c>
      <c r="E10" s="35">
        <f>'Prínosy - Agendové IS'!T10-'Výdavky - Agendové IS'!N10</f>
        <v>-5101930.355816802</v>
      </c>
      <c r="F10" s="35">
        <f>'Prínosy - Agendové IS'!U10-'Výdavky - Agendové IS'!O10</f>
        <v>-3662605.3782934686</v>
      </c>
      <c r="G10" s="37">
        <f t="shared" si="0"/>
        <v>1439324.9775233334</v>
      </c>
      <c r="H10" s="68">
        <v>6</v>
      </c>
      <c r="I10" s="64">
        <f>D10*(1/(1+Faktory!$D$3)^H10)</f>
        <v>-224034.68612757284</v>
      </c>
      <c r="J10" s="71">
        <f>G10*(1/(1+Faktory!$D$5)^H10)</f>
        <v>1074046.4589915792</v>
      </c>
      <c r="K10" s="69">
        <f t="shared" si="2"/>
        <v>647056.50013666507</v>
      </c>
      <c r="L10" s="40" t="str">
        <f t="shared" si="3"/>
        <v>Rok návratu investície</v>
      </c>
    </row>
    <row r="11" spans="1:12" x14ac:dyDescent="0.25">
      <c r="A11" s="42" t="s">
        <v>33</v>
      </c>
      <c r="B11" s="35">
        <f>'Prínosy - Agendové IS'!Q11-'Výdavky - Agendové IS'!N11</f>
        <v>-961274.02913346863</v>
      </c>
      <c r="C11" s="34">
        <f>'Prínosy - Agendové IS'!R11-'Výdavky - Agendové IS'!O11</f>
        <v>-1244749.3782934686</v>
      </c>
      <c r="D11" s="37">
        <f t="shared" si="1"/>
        <v>-283475.34915999998</v>
      </c>
      <c r="E11" s="35">
        <f>'Prínosy - Agendové IS'!T11-'Výdavky - Agendové IS'!N11</f>
        <v>-5101930.355816802</v>
      </c>
      <c r="F11" s="35">
        <f>'Prínosy - Agendové IS'!U11-'Výdavky - Agendové IS'!O11</f>
        <v>-3662605.3782934686</v>
      </c>
      <c r="G11" s="37">
        <f t="shared" si="0"/>
        <v>1439324.9775233334</v>
      </c>
      <c r="H11" s="68">
        <v>7</v>
      </c>
      <c r="I11" s="64">
        <f>D11*(1/(1+Faktory!$D$3)^H11)</f>
        <v>-215417.96743035855</v>
      </c>
      <c r="J11" s="71">
        <f>G11*(1/(1+Faktory!$D$5)^H11)</f>
        <v>1022901.3895157898</v>
      </c>
      <c r="K11" s="69">
        <f t="shared" si="2"/>
        <v>1669957.8896524548</v>
      </c>
      <c r="L11" s="40" t="str">
        <f t="shared" si="3"/>
        <v>&gt;</v>
      </c>
    </row>
    <row r="12" spans="1:12" x14ac:dyDescent="0.25">
      <c r="A12" s="42" t="s">
        <v>34</v>
      </c>
      <c r="B12" s="35">
        <f>'Prínosy - Agendové IS'!Q12-'Výdavky - Agendové IS'!N12</f>
        <v>-961274.02913346863</v>
      </c>
      <c r="C12" s="34">
        <f>'Prínosy - Agendové IS'!R12-'Výdavky - Agendové IS'!O12</f>
        <v>-1244749.3782934686</v>
      </c>
      <c r="D12" s="37">
        <f t="shared" si="1"/>
        <v>-283475.34915999998</v>
      </c>
      <c r="E12" s="35">
        <f>'Prínosy - Agendové IS'!T12-'Výdavky - Agendové IS'!N12</f>
        <v>-5101930.355816802</v>
      </c>
      <c r="F12" s="35">
        <f>'Prínosy - Agendové IS'!U12-'Výdavky - Agendové IS'!O12</f>
        <v>-3662605.3782934686</v>
      </c>
      <c r="G12" s="37">
        <f t="shared" si="0"/>
        <v>1439324.9775233334</v>
      </c>
      <c r="H12" s="68">
        <v>8</v>
      </c>
      <c r="I12" s="64">
        <f>D12*(1/(1+Faktory!$D$3)^H12)</f>
        <v>-207132.66099072932</v>
      </c>
      <c r="J12" s="71">
        <f>G12*(1/(1+Faktory!$D$5)^H12)</f>
        <v>974191.79953884752</v>
      </c>
      <c r="K12" s="69">
        <f t="shared" si="2"/>
        <v>2644149.6891913023</v>
      </c>
      <c r="L12" s="40" t="str">
        <f t="shared" si="3"/>
        <v>&gt;</v>
      </c>
    </row>
    <row r="13" spans="1:12" ht="15.75" thickBot="1" x14ac:dyDescent="0.3">
      <c r="A13" s="42" t="s">
        <v>35</v>
      </c>
      <c r="B13" s="59">
        <f>'Prínosy - Agendové IS'!Q13-'Výdavky - Agendové IS'!N13</f>
        <v>-961274.02913346863</v>
      </c>
      <c r="C13" s="55">
        <f>'Prínosy - Agendové IS'!R13-'Výdavky - Agendové IS'!O13</f>
        <v>-1244749.3782934686</v>
      </c>
      <c r="D13" s="45">
        <f t="shared" si="1"/>
        <v>-283475.34915999998</v>
      </c>
      <c r="E13" s="35">
        <f>'Prínosy - Agendové IS'!T13-'Výdavky - Agendové IS'!N13</f>
        <v>-5101930.355816802</v>
      </c>
      <c r="F13" s="35">
        <f>'Prínosy - Agendové IS'!U13-'Výdavky - Agendové IS'!O13</f>
        <v>-3662605.3782934686</v>
      </c>
      <c r="G13" s="45">
        <f t="shared" si="0"/>
        <v>1439324.9775233334</v>
      </c>
      <c r="H13" s="68">
        <v>9</v>
      </c>
      <c r="I13" s="65">
        <f>D13*(1/(1+Faktory!$D$3)^H13)</f>
        <v>-199166.02018339356</v>
      </c>
      <c r="J13" s="72">
        <f>G13*(1/(1+Faktory!$D$5)^H13)</f>
        <v>927801.71384652134</v>
      </c>
      <c r="K13" s="69">
        <f t="shared" si="2"/>
        <v>3571951.4030378237</v>
      </c>
      <c r="L13" s="40" t="str">
        <f t="shared" si="3"/>
        <v>&gt;</v>
      </c>
    </row>
    <row r="14" spans="1:12" ht="15.75" thickBot="1" x14ac:dyDescent="0.3">
      <c r="A14" s="74" t="s">
        <v>36</v>
      </c>
      <c r="B14" s="56">
        <f t="shared" ref="B14:G14" si="4">SUM(B4:B13)</f>
        <v>-9612740.2913346868</v>
      </c>
      <c r="C14" s="57">
        <f t="shared" si="4"/>
        <v>-17230055.344614692</v>
      </c>
      <c r="D14" s="57">
        <f t="shared" si="4"/>
        <v>-7617315.0532799978</v>
      </c>
      <c r="E14" s="57">
        <f t="shared" si="4"/>
        <v>-51019303.558168031</v>
      </c>
      <c r="F14" s="57">
        <f t="shared" si="4"/>
        <v>-44854215.997981362</v>
      </c>
      <c r="G14" s="58">
        <f t="shared" si="4"/>
        <v>6165087.5601866655</v>
      </c>
      <c r="H14" s="75" t="s">
        <v>36</v>
      </c>
      <c r="I14" s="206">
        <f>SUM(I4:I13)</f>
        <v>-7134770.5052228514</v>
      </c>
      <c r="J14" s="207">
        <f>SUM(J4:J13)</f>
        <v>3571951.4030378237</v>
      </c>
      <c r="K14" s="11"/>
      <c r="L14" s="11"/>
    </row>
    <row r="16" spans="1:12" ht="15.75" thickBot="1" x14ac:dyDescent="0.3">
      <c r="H16" s="118" t="s">
        <v>140</v>
      </c>
      <c r="J16" s="217" t="s">
        <v>127</v>
      </c>
      <c r="K16" s="217" t="s">
        <v>138</v>
      </c>
    </row>
    <row r="17" spans="5:11" s="151" customFormat="1" ht="15.75" thickBot="1" x14ac:dyDescent="0.25">
      <c r="H17" s="211" t="s">
        <v>119</v>
      </c>
      <c r="I17" s="213" t="s">
        <v>133</v>
      </c>
      <c r="J17" s="214">
        <f>'Prínosy - Agendové IS'!V15/'Výdavky - Agendové IS'!P15</f>
        <v>1.5079101773103645</v>
      </c>
      <c r="K17" s="218">
        <v>1</v>
      </c>
    </row>
    <row r="18" spans="5:11" s="151" customFormat="1" ht="23.25" thickBot="1" x14ac:dyDescent="0.25">
      <c r="H18" s="212" t="s">
        <v>130</v>
      </c>
      <c r="I18" s="213" t="s">
        <v>134</v>
      </c>
      <c r="J18" s="215" t="e">
        <f>IRR($D$4:$D$13)</f>
        <v>#NUM!</v>
      </c>
      <c r="K18" s="219" t="s">
        <v>139</v>
      </c>
    </row>
    <row r="19" spans="5:11" s="151" customFormat="1" ht="23.25" thickBot="1" x14ac:dyDescent="0.25">
      <c r="E19" s="208"/>
      <c r="H19" s="212" t="s">
        <v>131</v>
      </c>
      <c r="I19" s="213" t="s">
        <v>135</v>
      </c>
      <c r="J19" s="215">
        <f>IRR($G$4:$G$13,0.01)</f>
        <v>0.1707392693921379</v>
      </c>
      <c r="K19" s="219">
        <v>0.05</v>
      </c>
    </row>
    <row r="20" spans="5:11" ht="15.75" thickBot="1" x14ac:dyDescent="0.3">
      <c r="H20" s="209"/>
      <c r="I20" s="210"/>
      <c r="J20" s="209"/>
      <c r="K20" s="220"/>
    </row>
    <row r="21" spans="5:11" s="151" customFormat="1" ht="23.25" thickBot="1" x14ac:dyDescent="0.25">
      <c r="H21" s="212" t="s">
        <v>132</v>
      </c>
      <c r="I21" s="213" t="s">
        <v>136</v>
      </c>
      <c r="J21" s="216">
        <f>I14</f>
        <v>-7134770.5052228514</v>
      </c>
      <c r="K21" s="221" t="s">
        <v>139</v>
      </c>
    </row>
    <row r="22" spans="5:11" s="151" customFormat="1" ht="23.25" thickBot="1" x14ac:dyDescent="0.25">
      <c r="H22" s="212" t="s">
        <v>70</v>
      </c>
      <c r="I22" s="213" t="s">
        <v>137</v>
      </c>
      <c r="J22" s="216">
        <f>J14</f>
        <v>3571951.4030378237</v>
      </c>
      <c r="K22" s="221">
        <v>0</v>
      </c>
    </row>
  </sheetData>
  <mergeCells count="6">
    <mergeCell ref="K3:L3"/>
    <mergeCell ref="B1:G1"/>
    <mergeCell ref="H1:L1"/>
    <mergeCell ref="B2:D2"/>
    <mergeCell ref="E2:G2"/>
    <mergeCell ref="K2:L2"/>
  </mergeCells>
  <conditionalFormatting sqref="L4:L13">
    <cfRule type="cellIs" dxfId="0" priority="1" stopIfTrue="1" operator="equal">
      <formula>"Rok návratu investície"</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R53"/>
  <sheetViews>
    <sheetView zoomScale="80" zoomScaleNormal="80" workbookViewId="0">
      <selection activeCell="B27" sqref="B27:B37"/>
    </sheetView>
  </sheetViews>
  <sheetFormatPr defaultColWidth="8.85546875" defaultRowHeight="15" x14ac:dyDescent="0.25"/>
  <cols>
    <col min="1" max="1" width="7.85546875" style="73" customWidth="1"/>
    <col min="2" max="2" width="12.7109375" style="73" customWidth="1"/>
    <col min="3" max="3" width="14" style="73" customWidth="1"/>
    <col min="4" max="4" width="9.42578125" style="73" customWidth="1"/>
    <col min="5" max="5" width="11.85546875" style="73" customWidth="1"/>
    <col min="6" max="6" width="11.7109375" style="73" customWidth="1"/>
    <col min="7" max="7" width="9.7109375" customWidth="1"/>
    <col min="8" max="8" width="11.42578125" customWidth="1"/>
    <col min="9" max="9" width="10.85546875" customWidth="1"/>
    <col min="10" max="10" width="9.42578125" customWidth="1"/>
    <col min="11" max="11" width="12.7109375" customWidth="1"/>
    <col min="12" max="12" width="11.42578125" customWidth="1"/>
    <col min="13" max="13" width="10.42578125" customWidth="1"/>
    <col min="14" max="14" width="13.28515625" customWidth="1"/>
    <col min="15" max="15" width="11.28515625" customWidth="1"/>
    <col min="16" max="16" width="9.7109375" customWidth="1"/>
    <col min="17" max="17" width="14.7109375" customWidth="1"/>
    <col min="18" max="18" width="15.7109375" customWidth="1"/>
  </cols>
  <sheetData>
    <row r="2" spans="1:18" x14ac:dyDescent="0.25">
      <c r="A2" s="263" t="s">
        <v>119</v>
      </c>
      <c r="B2" s="264">
        <f>'CBA - Agendové IS'!J17</f>
        <v>1.5079101773103645</v>
      </c>
    </row>
    <row r="4" spans="1:18" x14ac:dyDescent="0.25">
      <c r="A4" s="254"/>
    </row>
    <row r="5" spans="1:18" ht="30" customHeight="1" x14ac:dyDescent="0.25">
      <c r="A5" s="254"/>
      <c r="B5" s="641" t="s">
        <v>153</v>
      </c>
      <c r="C5" s="642"/>
      <c r="D5" s="272"/>
      <c r="E5" s="641" t="s">
        <v>154</v>
      </c>
      <c r="F5" s="642"/>
      <c r="H5" s="639" t="s">
        <v>149</v>
      </c>
      <c r="I5" s="640"/>
      <c r="J5" s="73"/>
      <c r="K5" s="641" t="s">
        <v>152</v>
      </c>
      <c r="L5" s="642"/>
      <c r="N5" s="639" t="s">
        <v>150</v>
      </c>
      <c r="O5" s="640"/>
      <c r="Q5" s="639" t="s">
        <v>151</v>
      </c>
      <c r="R5" s="640"/>
    </row>
    <row r="6" spans="1:18" x14ac:dyDescent="0.25">
      <c r="A6" s="254"/>
      <c r="B6" s="267" t="s">
        <v>11</v>
      </c>
      <c r="C6" s="266" t="s">
        <v>119</v>
      </c>
      <c r="D6" s="273"/>
      <c r="E6" s="267" t="s">
        <v>11</v>
      </c>
      <c r="F6" s="266" t="s">
        <v>119</v>
      </c>
      <c r="H6" s="267" t="s">
        <v>11</v>
      </c>
      <c r="I6" s="266" t="s">
        <v>119</v>
      </c>
      <c r="J6" s="73"/>
      <c r="K6" s="267" t="s">
        <v>11</v>
      </c>
      <c r="L6" s="266" t="s">
        <v>119</v>
      </c>
      <c r="N6" s="268" t="s">
        <v>11</v>
      </c>
      <c r="O6" s="269" t="s">
        <v>119</v>
      </c>
      <c r="Q6" s="268" t="s">
        <v>11</v>
      </c>
      <c r="R6" s="269" t="s">
        <v>119</v>
      </c>
    </row>
    <row r="7" spans="1:18" ht="15" customHeight="1" x14ac:dyDescent="0.25">
      <c r="A7" s="254"/>
      <c r="B7" s="259">
        <v>0</v>
      </c>
      <c r="C7" s="250">
        <f>B2</f>
        <v>1.5079101773103645</v>
      </c>
      <c r="D7" s="270"/>
      <c r="E7" s="259">
        <v>0</v>
      </c>
      <c r="F7" s="250">
        <f>B2</f>
        <v>1.5079101773103645</v>
      </c>
      <c r="H7" s="259">
        <v>0</v>
      </c>
      <c r="I7" s="250">
        <f>B2</f>
        <v>1.5079101773103645</v>
      </c>
      <c r="J7" s="73"/>
      <c r="K7" s="259">
        <v>0</v>
      </c>
      <c r="L7" s="250">
        <f>B2</f>
        <v>1.5079101773103645</v>
      </c>
      <c r="N7" s="261">
        <v>0</v>
      </c>
      <c r="O7" s="252">
        <f>B2</f>
        <v>1.5079101773103645</v>
      </c>
      <c r="Q7" s="261">
        <v>0</v>
      </c>
      <c r="R7" s="252">
        <f>B2</f>
        <v>1.5079101773103645</v>
      </c>
    </row>
    <row r="8" spans="1:18" x14ac:dyDescent="0.25">
      <c r="A8" s="254"/>
      <c r="B8" s="259">
        <v>0.1</v>
      </c>
      <c r="C8" s="255">
        <f t="dataTable" ref="C8:C17" dt2D="0" dtr="0" r1="B7" ca="1"/>
        <v>1.2921657113242921</v>
      </c>
      <c r="D8" s="271"/>
      <c r="E8" s="259">
        <v>0.1</v>
      </c>
      <c r="F8" s="255">
        <f t="dataTable" ref="F8:F17" dt2D="0" dtr="0" r1="E7" ca="1"/>
        <v>1.4024614307805972</v>
      </c>
      <c r="H8" s="259">
        <v>-0.1</v>
      </c>
      <c r="I8" s="255">
        <f t="dataTable" ref="I8:I17" dt2D="0" dtr="0" r1="H7" ca="1"/>
        <v>1.5079101773103645</v>
      </c>
      <c r="J8" s="73"/>
      <c r="K8" s="259">
        <v>-0.1</v>
      </c>
      <c r="L8" s="255">
        <f t="dataTable" ref="L8:L17" dt2D="0" dtr="0" r1="K7" ca="1"/>
        <v>1.8344887472003029</v>
      </c>
      <c r="N8" s="261">
        <v>-0.1</v>
      </c>
      <c r="O8" s="257">
        <f t="dataTable" ref="O8:O17" dt2D="0" dtr="0" r1="N7" ca="1"/>
        <v>1.3571191595793273</v>
      </c>
      <c r="Q8" s="261">
        <v>-0.1</v>
      </c>
      <c r="R8" s="257">
        <f t="dataTable" ref="R8:R17" dt2D="0" dtr="0" r1="Q7"/>
        <v>1.5079101773103645</v>
      </c>
    </row>
    <row r="9" spans="1:18" x14ac:dyDescent="0.25">
      <c r="A9" s="253"/>
      <c r="B9" s="259">
        <v>0.2</v>
      </c>
      <c r="C9" s="255">
        <v>1.130429366726851</v>
      </c>
      <c r="D9" s="271"/>
      <c r="E9" s="259">
        <v>0.2</v>
      </c>
      <c r="F9" s="255">
        <v>1.3107968930594098</v>
      </c>
      <c r="H9" s="259">
        <v>-0.2</v>
      </c>
      <c r="I9" s="255">
        <v>1.5079101773103645</v>
      </c>
      <c r="J9" s="73"/>
      <c r="K9" s="259">
        <v>-0.2</v>
      </c>
      <c r="L9" s="255">
        <v>2.1610673170902412</v>
      </c>
      <c r="N9" s="261">
        <v>-0.2</v>
      </c>
      <c r="O9" s="257">
        <v>1.2063281418482916</v>
      </c>
      <c r="Q9" s="261">
        <v>-0.2</v>
      </c>
      <c r="R9" s="257">
        <v>1.5079101773103645</v>
      </c>
    </row>
    <row r="10" spans="1:18" x14ac:dyDescent="0.25">
      <c r="A10" s="253"/>
      <c r="B10" s="259">
        <v>0.3</v>
      </c>
      <c r="C10" s="255">
        <v>1.0046770762920656</v>
      </c>
      <c r="D10" s="271"/>
      <c r="E10" s="259">
        <v>0.3</v>
      </c>
      <c r="F10" s="255">
        <v>1.2303795830188502</v>
      </c>
      <c r="H10" s="259">
        <v>-0.3</v>
      </c>
      <c r="I10" s="255">
        <v>1.5079101773103645</v>
      </c>
      <c r="J10" s="73"/>
      <c r="K10" s="259">
        <v>-0.3</v>
      </c>
      <c r="L10" s="255">
        <v>2.4876458869801801</v>
      </c>
      <c r="N10" s="261">
        <v>-0.3</v>
      </c>
      <c r="O10" s="257">
        <v>1.0555371241172546</v>
      </c>
      <c r="Q10" s="261">
        <v>-0.3</v>
      </c>
      <c r="R10" s="257">
        <v>1.5079101773103645</v>
      </c>
    </row>
    <row r="11" spans="1:18" x14ac:dyDescent="0.25">
      <c r="A11" s="253"/>
      <c r="B11" s="259">
        <v>0.4</v>
      </c>
      <c r="C11" s="255">
        <v>0.90410209752942439</v>
      </c>
      <c r="D11" s="271"/>
      <c r="E11" s="259">
        <v>0.4</v>
      </c>
      <c r="F11" s="255">
        <v>1.1592591069809191</v>
      </c>
      <c r="H11" s="259">
        <v>-0.4</v>
      </c>
      <c r="I11" s="255">
        <v>1.5079101773103645</v>
      </c>
      <c r="J11" s="73"/>
      <c r="K11" s="259">
        <v>-0.4</v>
      </c>
      <c r="L11" s="255">
        <v>2.8142244568701185</v>
      </c>
      <c r="N11" s="261">
        <v>-0.4</v>
      </c>
      <c r="O11" s="257">
        <v>0.90474610638621844</v>
      </c>
      <c r="Q11" s="261">
        <v>-0.4</v>
      </c>
      <c r="R11" s="257">
        <v>1.5079101773103645</v>
      </c>
    </row>
    <row r="12" spans="1:18" x14ac:dyDescent="0.25">
      <c r="A12" s="253"/>
      <c r="B12" s="259">
        <v>0.5</v>
      </c>
      <c r="C12" s="255">
        <v>0.82183122651640439</v>
      </c>
      <c r="D12" s="271"/>
      <c r="E12" s="259">
        <v>0.5</v>
      </c>
      <c r="F12" s="255">
        <v>1.0959113883495877</v>
      </c>
      <c r="H12" s="259">
        <v>-0.5</v>
      </c>
      <c r="I12" s="255">
        <v>1.5079101773103645</v>
      </c>
      <c r="J12" s="73"/>
      <c r="K12" s="259">
        <v>-0.5</v>
      </c>
      <c r="L12" s="255">
        <v>3.1408030267600568</v>
      </c>
      <c r="N12" s="261">
        <v>-0.5</v>
      </c>
      <c r="O12" s="257">
        <v>0.75395508865518235</v>
      </c>
      <c r="Q12" s="261">
        <v>-0.5</v>
      </c>
      <c r="R12" s="257">
        <v>1.5079101773103645</v>
      </c>
    </row>
    <row r="13" spans="1:18" x14ac:dyDescent="0.25">
      <c r="A13" s="253"/>
      <c r="B13" s="259">
        <v>0.6</v>
      </c>
      <c r="C13" s="255">
        <v>0.7532843654531759</v>
      </c>
      <c r="D13" s="271"/>
      <c r="E13" s="259">
        <v>0.6</v>
      </c>
      <c r="F13" s="255">
        <v>1.0391282223965626</v>
      </c>
      <c r="H13" s="259">
        <v>-0.6</v>
      </c>
      <c r="I13" s="255">
        <v>1.5079101773103645</v>
      </c>
      <c r="J13" s="73"/>
      <c r="K13" s="259">
        <v>-0.6</v>
      </c>
      <c r="L13" s="255">
        <v>3.4673815966499952</v>
      </c>
      <c r="N13" s="261">
        <v>-0.6</v>
      </c>
      <c r="O13" s="257">
        <v>0.60316407092414581</v>
      </c>
      <c r="Q13" s="261">
        <v>-0.6</v>
      </c>
      <c r="R13" s="257">
        <v>1.5079101773103645</v>
      </c>
    </row>
    <row r="14" spans="1:18" x14ac:dyDescent="0.25">
      <c r="A14" s="249"/>
      <c r="B14" s="259">
        <v>0.7</v>
      </c>
      <c r="C14" s="255">
        <v>0.695291834572071</v>
      </c>
      <c r="D14" s="271"/>
      <c r="E14" s="259">
        <v>0.7</v>
      </c>
      <c r="F14" s="255">
        <v>0.98793947505792856</v>
      </c>
      <c r="H14" s="259">
        <v>-0.7</v>
      </c>
      <c r="I14" s="255">
        <v>1.5079101773103645</v>
      </c>
      <c r="J14" s="73"/>
      <c r="K14" s="259">
        <v>-0.7</v>
      </c>
      <c r="L14" s="255">
        <v>3.7939601665399332</v>
      </c>
      <c r="N14" s="261">
        <v>-0.7</v>
      </c>
      <c r="O14" s="257">
        <v>0.45237305319310922</v>
      </c>
      <c r="Q14" s="261">
        <v>-0.7</v>
      </c>
      <c r="R14" s="257">
        <v>1.5079101773103645</v>
      </c>
    </row>
    <row r="15" spans="1:18" x14ac:dyDescent="0.25">
      <c r="A15" s="249"/>
      <c r="B15" s="259">
        <v>0.8</v>
      </c>
      <c r="C15" s="255">
        <v>0.64559026736364555</v>
      </c>
      <c r="D15" s="271"/>
      <c r="E15" s="259">
        <v>0.8</v>
      </c>
      <c r="F15" s="255">
        <v>0.94155719763003032</v>
      </c>
      <c r="H15" s="259">
        <v>-0.8</v>
      </c>
      <c r="I15" s="255">
        <v>1.5079101773103645</v>
      </c>
      <c r="J15" s="73"/>
      <c r="K15" s="259">
        <v>-0.8</v>
      </c>
      <c r="L15" s="255">
        <v>4.1205387364298725</v>
      </c>
      <c r="N15" s="261">
        <v>-0.8</v>
      </c>
      <c r="O15" s="257">
        <v>0.30158203546207268</v>
      </c>
      <c r="Q15" s="261">
        <v>-0.8</v>
      </c>
      <c r="R15" s="257">
        <v>1.5079101773103645</v>
      </c>
    </row>
    <row r="16" spans="1:18" x14ac:dyDescent="0.25">
      <c r="A16" s="249"/>
      <c r="B16" s="259">
        <v>0.9</v>
      </c>
      <c r="C16" s="255">
        <v>0.60252029119232164</v>
      </c>
      <c r="D16" s="271"/>
      <c r="E16" s="259">
        <v>0.9</v>
      </c>
      <c r="F16" s="255">
        <v>0.89933477791416105</v>
      </c>
      <c r="H16" s="259">
        <v>-0.9</v>
      </c>
      <c r="I16" s="255">
        <v>1.5079101773103645</v>
      </c>
      <c r="J16" s="73"/>
      <c r="K16" s="259">
        <v>-0.9</v>
      </c>
      <c r="L16" s="255">
        <v>4.4471173063198117</v>
      </c>
      <c r="N16" s="261">
        <v>-0.9</v>
      </c>
      <c r="O16" s="257">
        <v>0.15079101773103615</v>
      </c>
      <c r="Q16" s="261">
        <v>-0.9</v>
      </c>
      <c r="R16" s="257">
        <v>1.5079101773103645</v>
      </c>
    </row>
    <row r="17" spans="1:18" x14ac:dyDescent="0.25">
      <c r="A17" s="249"/>
      <c r="B17" s="260">
        <v>1</v>
      </c>
      <c r="C17" s="256">
        <v>0.56483765330518965</v>
      </c>
      <c r="D17" s="271"/>
      <c r="E17" s="260">
        <v>1</v>
      </c>
      <c r="F17" s="256">
        <v>0.86073661040931526</v>
      </c>
      <c r="H17" s="260">
        <v>-1</v>
      </c>
      <c r="I17" s="256">
        <v>1.5079101773103645</v>
      </c>
      <c r="J17" s="73"/>
      <c r="K17" s="260">
        <v>-1</v>
      </c>
      <c r="L17" s="256">
        <v>4.7736958762097501</v>
      </c>
      <c r="N17" s="262">
        <v>-1</v>
      </c>
      <c r="O17" s="258">
        <v>0</v>
      </c>
      <c r="Q17" s="262">
        <v>-1</v>
      </c>
      <c r="R17" s="258">
        <v>1.5079101773103645</v>
      </c>
    </row>
    <row r="18" spans="1:18" x14ac:dyDescent="0.25">
      <c r="A18" s="253"/>
      <c r="B18" s="254"/>
      <c r="C18" s="254"/>
      <c r="D18" s="254"/>
      <c r="E18" s="254"/>
      <c r="F18" s="254"/>
      <c r="N18" s="265"/>
    </row>
    <row r="19" spans="1:18" x14ac:dyDescent="0.25">
      <c r="A19" s="253"/>
      <c r="B19" s="254"/>
      <c r="C19" s="254"/>
      <c r="D19" s="254"/>
      <c r="E19" s="254"/>
      <c r="F19" s="254"/>
    </row>
    <row r="20" spans="1:18" x14ac:dyDescent="0.25">
      <c r="A20" s="254"/>
      <c r="B20" s="254"/>
      <c r="C20" s="254"/>
      <c r="D20" s="254"/>
      <c r="E20" s="254"/>
      <c r="F20" s="254"/>
    </row>
    <row r="25" spans="1:18" ht="18.75" customHeight="1" x14ac:dyDescent="0.25">
      <c r="B25" s="254"/>
      <c r="C25" s="254"/>
      <c r="D25" s="633" t="s">
        <v>151</v>
      </c>
      <c r="E25" s="634"/>
      <c r="F25" s="634"/>
      <c r="G25" s="634"/>
      <c r="H25" s="634"/>
      <c r="I25" s="634"/>
      <c r="J25" s="634"/>
      <c r="K25" s="634"/>
      <c r="L25" s="634"/>
      <c r="M25" s="634"/>
      <c r="N25" s="635"/>
    </row>
    <row r="26" spans="1:18" x14ac:dyDescent="0.25">
      <c r="B26" s="254"/>
      <c r="C26" s="274">
        <f>B2</f>
        <v>1.5079101773103645</v>
      </c>
      <c r="D26" s="280">
        <v>0</v>
      </c>
      <c r="E26" s="277">
        <v>-0.1</v>
      </c>
      <c r="F26" s="277">
        <v>-0.2</v>
      </c>
      <c r="G26" s="277">
        <v>-0.3</v>
      </c>
      <c r="H26" s="277">
        <v>-0.4</v>
      </c>
      <c r="I26" s="277">
        <v>-0.5</v>
      </c>
      <c r="J26" s="277">
        <v>-0.6</v>
      </c>
      <c r="K26" s="277">
        <v>-0.7</v>
      </c>
      <c r="L26" s="277">
        <v>-0.8</v>
      </c>
      <c r="M26" s="277">
        <v>-0.9</v>
      </c>
      <c r="N26" s="281">
        <v>-1</v>
      </c>
    </row>
    <row r="27" spans="1:18" ht="14.25" customHeight="1" x14ac:dyDescent="0.25">
      <c r="B27" s="636" t="s">
        <v>394</v>
      </c>
      <c r="C27" s="282">
        <v>0</v>
      </c>
      <c r="D27" s="271">
        <f t="dataTable" ref="D27:N37" dt2D="1" dtr="1" r1="Q7" r2="N7" ca="1"/>
        <v>1.5079101773103645</v>
      </c>
      <c r="E27" s="271">
        <v>1.5079101773103645</v>
      </c>
      <c r="F27" s="271">
        <v>1.5079101773103645</v>
      </c>
      <c r="G27" s="276">
        <v>1.5079101773103645</v>
      </c>
      <c r="H27" s="276">
        <v>1.5079101773103645</v>
      </c>
      <c r="I27" s="276">
        <v>1.5079101773103645</v>
      </c>
      <c r="J27" s="276">
        <v>1.5079101773103645</v>
      </c>
      <c r="K27" s="276">
        <v>1.5079101773103645</v>
      </c>
      <c r="L27" s="276">
        <v>1.5079101773103645</v>
      </c>
      <c r="M27" s="276">
        <v>1.5079101773103645</v>
      </c>
      <c r="N27" s="257">
        <v>1.5079101773103645</v>
      </c>
    </row>
    <row r="28" spans="1:18" x14ac:dyDescent="0.25">
      <c r="B28" s="637"/>
      <c r="C28" s="275">
        <v>-0.1</v>
      </c>
      <c r="D28" s="271">
        <v>1.3571191595793273</v>
      </c>
      <c r="E28" s="271">
        <v>1.3571191595793273</v>
      </c>
      <c r="F28" s="271">
        <v>1.3571191595793273</v>
      </c>
      <c r="G28" s="276">
        <v>1.3571191595793273</v>
      </c>
      <c r="H28" s="276">
        <v>1.3571191595793273</v>
      </c>
      <c r="I28" s="276">
        <v>1.3571191595793273</v>
      </c>
      <c r="J28" s="276">
        <v>1.3571191595793273</v>
      </c>
      <c r="K28" s="276">
        <v>1.3571191595793273</v>
      </c>
      <c r="L28" s="276">
        <v>1.3571191595793273</v>
      </c>
      <c r="M28" s="276">
        <v>1.3571191595793273</v>
      </c>
      <c r="N28" s="257">
        <v>1.3571191595793273</v>
      </c>
    </row>
    <row r="29" spans="1:18" x14ac:dyDescent="0.25">
      <c r="B29" s="637"/>
      <c r="C29" s="275">
        <v>-0.2</v>
      </c>
      <c r="D29" s="271">
        <v>1.2063281418482916</v>
      </c>
      <c r="E29" s="271">
        <v>1.2063281418482916</v>
      </c>
      <c r="F29" s="271">
        <v>1.2063281418482916</v>
      </c>
      <c r="G29" s="276">
        <v>1.2063281418482916</v>
      </c>
      <c r="H29" s="276">
        <v>1.2063281418482916</v>
      </c>
      <c r="I29" s="276">
        <v>1.2063281418482916</v>
      </c>
      <c r="J29" s="276">
        <v>1.2063281418482916</v>
      </c>
      <c r="K29" s="276">
        <v>1.2063281418482916</v>
      </c>
      <c r="L29" s="276">
        <v>1.2063281418482916</v>
      </c>
      <c r="M29" s="276">
        <v>1.2063281418482916</v>
      </c>
      <c r="N29" s="257">
        <v>1.2063281418482916</v>
      </c>
    </row>
    <row r="30" spans="1:18" x14ac:dyDescent="0.25">
      <c r="B30" s="637"/>
      <c r="C30" s="275">
        <v>-0.3</v>
      </c>
      <c r="D30" s="271">
        <v>1.0555371241172546</v>
      </c>
      <c r="E30" s="271">
        <v>1.0555371241172546</v>
      </c>
      <c r="F30" s="271">
        <v>1.0555371241172546</v>
      </c>
      <c r="G30" s="276">
        <v>1.0555371241172546</v>
      </c>
      <c r="H30" s="276">
        <v>1.0555371241172546</v>
      </c>
      <c r="I30" s="276">
        <v>1.0555371241172546</v>
      </c>
      <c r="J30" s="276">
        <v>1.0555371241172546</v>
      </c>
      <c r="K30" s="276">
        <v>1.0555371241172546</v>
      </c>
      <c r="L30" s="276">
        <v>1.0555371241172546</v>
      </c>
      <c r="M30" s="276">
        <v>1.0555371241172546</v>
      </c>
      <c r="N30" s="257">
        <v>1.0555371241172546</v>
      </c>
    </row>
    <row r="31" spans="1:18" x14ac:dyDescent="0.25">
      <c r="B31" s="637"/>
      <c r="C31" s="275">
        <v>-0.4</v>
      </c>
      <c r="D31" s="271">
        <v>0.90474610638621844</v>
      </c>
      <c r="E31" s="271">
        <v>0.90474610638621844</v>
      </c>
      <c r="F31" s="271">
        <v>0.90474610638621844</v>
      </c>
      <c r="G31" s="276">
        <v>0.90474610638621844</v>
      </c>
      <c r="H31" s="276">
        <v>0.90474610638621844</v>
      </c>
      <c r="I31" s="276">
        <v>0.90474610638621844</v>
      </c>
      <c r="J31" s="276">
        <v>0.90474610638621844</v>
      </c>
      <c r="K31" s="276">
        <v>0.90474610638621844</v>
      </c>
      <c r="L31" s="276">
        <v>0.90474610638621844</v>
      </c>
      <c r="M31" s="276">
        <v>0.90474610638621844</v>
      </c>
      <c r="N31" s="257">
        <v>0.90474610638621844</v>
      </c>
    </row>
    <row r="32" spans="1:18" x14ac:dyDescent="0.25">
      <c r="B32" s="637"/>
      <c r="C32" s="275">
        <v>-0.5</v>
      </c>
      <c r="D32" s="271">
        <v>0.75395508865518235</v>
      </c>
      <c r="E32" s="271">
        <v>0.75395508865518235</v>
      </c>
      <c r="F32" s="271">
        <v>0.75395508865518235</v>
      </c>
      <c r="G32" s="276">
        <v>0.75395508865518235</v>
      </c>
      <c r="H32" s="276">
        <v>0.75395508865518235</v>
      </c>
      <c r="I32" s="276">
        <v>0.75395508865518235</v>
      </c>
      <c r="J32" s="276">
        <v>0.75395508865518235</v>
      </c>
      <c r="K32" s="276">
        <v>0.75395508865518235</v>
      </c>
      <c r="L32" s="276">
        <v>0.75395508865518235</v>
      </c>
      <c r="M32" s="276">
        <v>0.75395508865518235</v>
      </c>
      <c r="N32" s="257">
        <v>0.75395508865518235</v>
      </c>
    </row>
    <row r="33" spans="2:14" x14ac:dyDescent="0.25">
      <c r="B33" s="637"/>
      <c r="C33" s="275">
        <v>-0.6</v>
      </c>
      <c r="D33" s="271">
        <v>0.60316407092414581</v>
      </c>
      <c r="E33" s="271">
        <v>0.60316407092414581</v>
      </c>
      <c r="F33" s="271">
        <v>0.60316407092414581</v>
      </c>
      <c r="G33" s="276">
        <v>0.60316407092414581</v>
      </c>
      <c r="H33" s="276">
        <v>0.60316407092414581</v>
      </c>
      <c r="I33" s="276">
        <v>0.60316407092414581</v>
      </c>
      <c r="J33" s="276">
        <v>0.60316407092414581</v>
      </c>
      <c r="K33" s="276">
        <v>0.60316407092414581</v>
      </c>
      <c r="L33" s="276">
        <v>0.60316407092414581</v>
      </c>
      <c r="M33" s="276">
        <v>0.60316407092414581</v>
      </c>
      <c r="N33" s="257">
        <v>0.60316407092414581</v>
      </c>
    </row>
    <row r="34" spans="2:14" x14ac:dyDescent="0.25">
      <c r="B34" s="637"/>
      <c r="C34" s="275">
        <v>-0.7</v>
      </c>
      <c r="D34" s="271">
        <v>0.45237305319310922</v>
      </c>
      <c r="E34" s="271">
        <v>0.45237305319310922</v>
      </c>
      <c r="F34" s="271">
        <v>0.45237305319310922</v>
      </c>
      <c r="G34" s="276">
        <v>0.45237305319310922</v>
      </c>
      <c r="H34" s="276">
        <v>0.45237305319310922</v>
      </c>
      <c r="I34" s="276">
        <v>0.45237305319310922</v>
      </c>
      <c r="J34" s="276">
        <v>0.45237305319310922</v>
      </c>
      <c r="K34" s="276">
        <v>0.45237305319310922</v>
      </c>
      <c r="L34" s="276">
        <v>0.45237305319310922</v>
      </c>
      <c r="M34" s="276">
        <v>0.45237305319310922</v>
      </c>
      <c r="N34" s="257">
        <v>0.45237305319310922</v>
      </c>
    </row>
    <row r="35" spans="2:14" x14ac:dyDescent="0.25">
      <c r="B35" s="637"/>
      <c r="C35" s="275">
        <v>-0.8</v>
      </c>
      <c r="D35" s="271">
        <v>0.30158203546207268</v>
      </c>
      <c r="E35" s="271">
        <v>0.30158203546207268</v>
      </c>
      <c r="F35" s="271">
        <v>0.30158203546207268</v>
      </c>
      <c r="G35" s="276">
        <v>0.30158203546207268</v>
      </c>
      <c r="H35" s="276">
        <v>0.30158203546207268</v>
      </c>
      <c r="I35" s="276">
        <v>0.30158203546207268</v>
      </c>
      <c r="J35" s="276">
        <v>0.30158203546207268</v>
      </c>
      <c r="K35" s="276">
        <v>0.30158203546207268</v>
      </c>
      <c r="L35" s="276">
        <v>0.30158203546207268</v>
      </c>
      <c r="M35" s="276">
        <v>0.30158203546207268</v>
      </c>
      <c r="N35" s="257">
        <v>0.30158203546207268</v>
      </c>
    </row>
    <row r="36" spans="2:14" x14ac:dyDescent="0.25">
      <c r="B36" s="637"/>
      <c r="C36" s="275">
        <v>-0.9</v>
      </c>
      <c r="D36" s="271">
        <v>0.15079101773103615</v>
      </c>
      <c r="E36" s="271">
        <v>0.15079101773103615</v>
      </c>
      <c r="F36" s="271">
        <v>0.15079101773103615</v>
      </c>
      <c r="G36" s="276">
        <v>0.15079101773103615</v>
      </c>
      <c r="H36" s="276">
        <v>0.15079101773103615</v>
      </c>
      <c r="I36" s="276">
        <v>0.15079101773103615</v>
      </c>
      <c r="J36" s="276">
        <v>0.15079101773103615</v>
      </c>
      <c r="K36" s="276">
        <v>0.15079101773103615</v>
      </c>
      <c r="L36" s="276">
        <v>0.15079101773103615</v>
      </c>
      <c r="M36" s="276">
        <v>0.15079101773103615</v>
      </c>
      <c r="N36" s="257">
        <v>0.15079101773103615</v>
      </c>
    </row>
    <row r="37" spans="2:14" x14ac:dyDescent="0.25">
      <c r="B37" s="638"/>
      <c r="C37" s="281">
        <v>-1</v>
      </c>
      <c r="D37" s="278">
        <v>0</v>
      </c>
      <c r="E37" s="278">
        <v>0</v>
      </c>
      <c r="F37" s="278">
        <v>0</v>
      </c>
      <c r="G37" s="279">
        <v>0</v>
      </c>
      <c r="H37" s="279">
        <v>0</v>
      </c>
      <c r="I37" s="279">
        <v>0</v>
      </c>
      <c r="J37" s="279">
        <v>0</v>
      </c>
      <c r="K37" s="279">
        <v>0</v>
      </c>
      <c r="L37" s="279">
        <v>0</v>
      </c>
      <c r="M37" s="279">
        <v>0</v>
      </c>
      <c r="N37" s="258">
        <v>0</v>
      </c>
    </row>
    <row r="41" spans="2:14" x14ac:dyDescent="0.25">
      <c r="B41" s="254"/>
      <c r="C41" s="254"/>
      <c r="D41" s="633" t="s">
        <v>152</v>
      </c>
      <c r="E41" s="634"/>
      <c r="F41" s="634"/>
      <c r="G41" s="634"/>
      <c r="H41" s="634"/>
      <c r="I41" s="634"/>
      <c r="J41" s="634"/>
      <c r="K41" s="634"/>
      <c r="L41" s="634"/>
      <c r="M41" s="634"/>
      <c r="N41" s="635"/>
    </row>
    <row r="42" spans="2:14" x14ac:dyDescent="0.25">
      <c r="B42" s="254"/>
      <c r="C42" s="274">
        <f>B2</f>
        <v>1.5079101773103645</v>
      </c>
      <c r="D42" s="280">
        <v>0</v>
      </c>
      <c r="E42" s="277">
        <v>-0.1</v>
      </c>
      <c r="F42" s="277">
        <v>-0.2</v>
      </c>
      <c r="G42" s="277">
        <v>-0.3</v>
      </c>
      <c r="H42" s="277">
        <v>-0.4</v>
      </c>
      <c r="I42" s="277">
        <v>-0.5</v>
      </c>
      <c r="J42" s="277">
        <v>-0.6</v>
      </c>
      <c r="K42" s="277">
        <v>-0.7</v>
      </c>
      <c r="L42" s="277">
        <v>-0.8</v>
      </c>
      <c r="M42" s="277">
        <v>-0.9</v>
      </c>
      <c r="N42" s="281">
        <v>-1</v>
      </c>
    </row>
    <row r="43" spans="2:14" x14ac:dyDescent="0.25">
      <c r="B43" s="636" t="s">
        <v>154</v>
      </c>
      <c r="C43" s="282">
        <v>0</v>
      </c>
      <c r="D43" s="271">
        <f t="dataTable" ref="D43:N53" dt2D="1" dtr="1" r1="K7" r2="E7" ca="1"/>
        <v>1.5079101773103645</v>
      </c>
      <c r="E43" s="271">
        <v>1.8344887472003029</v>
      </c>
      <c r="F43" s="271">
        <v>2.1610673170902412</v>
      </c>
      <c r="G43" s="276">
        <v>2.4876458869801801</v>
      </c>
      <c r="H43" s="276">
        <v>2.8142244568701185</v>
      </c>
      <c r="I43" s="276">
        <v>3.1408030267600568</v>
      </c>
      <c r="J43" s="276">
        <v>3.4673815966499952</v>
      </c>
      <c r="K43" s="276">
        <v>3.7939601665399332</v>
      </c>
      <c r="L43" s="276">
        <v>4.1205387364298725</v>
      </c>
      <c r="M43" s="276">
        <v>4.4471173063198117</v>
      </c>
      <c r="N43" s="257">
        <v>4.7736958762097501</v>
      </c>
    </row>
    <row r="44" spans="2:14" x14ac:dyDescent="0.25">
      <c r="B44" s="637"/>
      <c r="C44" s="275">
        <v>0.1</v>
      </c>
      <c r="D44" s="271">
        <v>1.4024614307805972</v>
      </c>
      <c r="E44" s="271">
        <v>1.7062022339676122</v>
      </c>
      <c r="F44" s="271">
        <v>2.0099430371546272</v>
      </c>
      <c r="G44" s="276">
        <v>2.3136838403416422</v>
      </c>
      <c r="H44" s="276">
        <v>2.6174246435286572</v>
      </c>
      <c r="I44" s="276">
        <v>2.9211654467156727</v>
      </c>
      <c r="J44" s="276">
        <v>3.2249062499026877</v>
      </c>
      <c r="K44" s="276">
        <v>3.5286470530897023</v>
      </c>
      <c r="L44" s="276">
        <v>3.8323878562767177</v>
      </c>
      <c r="M44" s="276">
        <v>4.1361286594637328</v>
      </c>
      <c r="N44" s="257">
        <v>4.4398694626507487</v>
      </c>
    </row>
    <row r="45" spans="2:14" x14ac:dyDescent="0.25">
      <c r="B45" s="637"/>
      <c r="C45" s="275">
        <v>0.2</v>
      </c>
      <c r="D45" s="271">
        <v>1.3107968930594098</v>
      </c>
      <c r="E45" s="271">
        <v>1.5946852712883259</v>
      </c>
      <c r="F45" s="271">
        <v>1.878573649517242</v>
      </c>
      <c r="G45" s="276">
        <v>2.1624620277461584</v>
      </c>
      <c r="H45" s="276">
        <v>2.4463504059750742</v>
      </c>
      <c r="I45" s="276">
        <v>2.7302387842039906</v>
      </c>
      <c r="J45" s="276">
        <v>3.0141271624329065</v>
      </c>
      <c r="K45" s="276">
        <v>3.2980155406618223</v>
      </c>
      <c r="L45" s="276">
        <v>3.5819039188907387</v>
      </c>
      <c r="M45" s="276">
        <v>3.8657922971196554</v>
      </c>
      <c r="N45" s="257">
        <v>4.1496806753485718</v>
      </c>
    </row>
    <row r="46" spans="2:14" x14ac:dyDescent="0.25">
      <c r="B46" s="637"/>
      <c r="C46" s="275">
        <v>0.3</v>
      </c>
      <c r="D46" s="271">
        <v>1.2303795830188502</v>
      </c>
      <c r="E46" s="271">
        <v>1.4968514264285069</v>
      </c>
      <c r="F46" s="271">
        <v>1.7633232698381633</v>
      </c>
      <c r="G46" s="276">
        <v>2.02979511324782</v>
      </c>
      <c r="H46" s="276">
        <v>2.2962669566574765</v>
      </c>
      <c r="I46" s="276">
        <v>2.5627388000671334</v>
      </c>
      <c r="J46" s="276">
        <v>2.8292106434767899</v>
      </c>
      <c r="K46" s="276">
        <v>3.0956824868864459</v>
      </c>
      <c r="L46" s="276">
        <v>3.3621543302961032</v>
      </c>
      <c r="M46" s="276">
        <v>3.6286261737057601</v>
      </c>
      <c r="N46" s="257">
        <v>3.895098017115417</v>
      </c>
    </row>
    <row r="47" spans="2:14" x14ac:dyDescent="0.25">
      <c r="B47" s="637"/>
      <c r="C47" s="275">
        <v>0.4</v>
      </c>
      <c r="D47" s="271">
        <v>1.1592591069809191</v>
      </c>
      <c r="E47" s="271">
        <v>1.4103278954183041</v>
      </c>
      <c r="F47" s="271">
        <v>1.6613966838556891</v>
      </c>
      <c r="G47" s="276">
        <v>1.9124654722930743</v>
      </c>
      <c r="H47" s="276">
        <v>2.1635342607304593</v>
      </c>
      <c r="I47" s="276">
        <v>2.4146030491678445</v>
      </c>
      <c r="J47" s="276">
        <v>2.6656718376052293</v>
      </c>
      <c r="K47" s="276">
        <v>2.9167406260426141</v>
      </c>
      <c r="L47" s="276">
        <v>3.1678094144799998</v>
      </c>
      <c r="M47" s="276">
        <v>3.418878202917385</v>
      </c>
      <c r="N47" s="257">
        <v>3.6699469913547706</v>
      </c>
    </row>
    <row r="48" spans="2:14" x14ac:dyDescent="0.25">
      <c r="B48" s="637"/>
      <c r="C48" s="275">
        <v>0.5</v>
      </c>
      <c r="D48" s="271">
        <v>1.0959113883495877</v>
      </c>
      <c r="E48" s="271">
        <v>1.3332605218183251</v>
      </c>
      <c r="F48" s="271">
        <v>1.5706096552870628</v>
      </c>
      <c r="G48" s="276">
        <v>1.8079587887558002</v>
      </c>
      <c r="H48" s="276">
        <v>2.0453079222245378</v>
      </c>
      <c r="I48" s="276">
        <v>2.2826570556932753</v>
      </c>
      <c r="J48" s="276">
        <v>2.5200061891620127</v>
      </c>
      <c r="K48" s="276">
        <v>2.7573553226307497</v>
      </c>
      <c r="L48" s="276">
        <v>2.994704456099488</v>
      </c>
      <c r="M48" s="276">
        <v>3.2320535895682259</v>
      </c>
      <c r="N48" s="257">
        <v>3.4694027230369637</v>
      </c>
    </row>
    <row r="49" spans="2:14" x14ac:dyDescent="0.25">
      <c r="B49" s="637"/>
      <c r="C49" s="275">
        <v>0.6</v>
      </c>
      <c r="D49" s="271">
        <v>1.0391282223965626</v>
      </c>
      <c r="E49" s="271">
        <v>1.2641794316190171</v>
      </c>
      <c r="F49" s="271">
        <v>1.4892306408414717</v>
      </c>
      <c r="G49" s="276">
        <v>1.7142818500639263</v>
      </c>
      <c r="H49" s="276">
        <v>1.9393330592863809</v>
      </c>
      <c r="I49" s="276">
        <v>2.1643842685088353</v>
      </c>
      <c r="J49" s="276">
        <v>2.3894354777312898</v>
      </c>
      <c r="K49" s="276">
        <v>2.614486686953744</v>
      </c>
      <c r="L49" s="276">
        <v>2.839537896176199</v>
      </c>
      <c r="M49" s="276">
        <v>3.064589105398654</v>
      </c>
      <c r="N49" s="257">
        <v>3.2896403146211091</v>
      </c>
    </row>
    <row r="50" spans="2:14" x14ac:dyDescent="0.25">
      <c r="B50" s="637"/>
      <c r="C50" s="275">
        <v>0.7</v>
      </c>
      <c r="D50" s="271">
        <v>0.98793947505792856</v>
      </c>
      <c r="E50" s="271">
        <v>1.2019043820908677</v>
      </c>
      <c r="F50" s="271">
        <v>1.4158692891238067</v>
      </c>
      <c r="G50" s="276">
        <v>1.6298341961567457</v>
      </c>
      <c r="H50" s="276">
        <v>1.843799103189685</v>
      </c>
      <c r="I50" s="276">
        <v>2.0577640102226242</v>
      </c>
      <c r="J50" s="276">
        <v>2.271728917255563</v>
      </c>
      <c r="K50" s="276">
        <v>2.4856938242885018</v>
      </c>
      <c r="L50" s="276">
        <v>2.6996587313214415</v>
      </c>
      <c r="M50" s="276">
        <v>2.9136236383543808</v>
      </c>
      <c r="N50" s="257">
        <v>3.1275885453873205</v>
      </c>
    </row>
    <row r="51" spans="2:14" x14ac:dyDescent="0.25">
      <c r="B51" s="637"/>
      <c r="C51" s="275">
        <v>0.8</v>
      </c>
      <c r="D51" s="271">
        <v>0.94155719763003032</v>
      </c>
      <c r="E51" s="271">
        <v>1.1454767730122077</v>
      </c>
      <c r="F51" s="271">
        <v>1.3493963483943854</v>
      </c>
      <c r="G51" s="276">
        <v>1.5533159237765628</v>
      </c>
      <c r="H51" s="276">
        <v>1.7572354991587402</v>
      </c>
      <c r="I51" s="276">
        <v>1.9611550745409179</v>
      </c>
      <c r="J51" s="276">
        <v>2.1650746499230955</v>
      </c>
      <c r="K51" s="276">
        <v>2.3689942253052725</v>
      </c>
      <c r="L51" s="276">
        <v>2.5729138006874503</v>
      </c>
      <c r="M51" s="276">
        <v>2.7768333760696282</v>
      </c>
      <c r="N51" s="257">
        <v>2.9807529514518061</v>
      </c>
    </row>
    <row r="52" spans="2:14" x14ac:dyDescent="0.25">
      <c r="B52" s="637"/>
      <c r="C52" s="275">
        <v>0.9</v>
      </c>
      <c r="D52" s="271">
        <v>0.89933477791416105</v>
      </c>
      <c r="E52" s="271">
        <v>1.0941099508938714</v>
      </c>
      <c r="F52" s="271">
        <v>1.2888851238735819</v>
      </c>
      <c r="G52" s="276">
        <v>1.4836602968532924</v>
      </c>
      <c r="H52" s="276">
        <v>1.6784354698330028</v>
      </c>
      <c r="I52" s="276">
        <v>1.8732106428127133</v>
      </c>
      <c r="J52" s="276">
        <v>2.067985815792424</v>
      </c>
      <c r="K52" s="276">
        <v>2.2627609887721341</v>
      </c>
      <c r="L52" s="276">
        <v>2.457536161751845</v>
      </c>
      <c r="M52" s="276">
        <v>2.6523113347315554</v>
      </c>
      <c r="N52" s="257">
        <v>2.8470865077112664</v>
      </c>
    </row>
    <row r="53" spans="2:14" x14ac:dyDescent="0.25">
      <c r="B53" s="638"/>
      <c r="C53" s="281">
        <v>1</v>
      </c>
      <c r="D53" s="278">
        <v>0.86073661040931526</v>
      </c>
      <c r="E53" s="278">
        <v>1.0471523104351468</v>
      </c>
      <c r="F53" s="278">
        <v>1.2335680104609783</v>
      </c>
      <c r="G53" s="279">
        <v>1.4199837104868098</v>
      </c>
      <c r="H53" s="279">
        <v>1.6063994105126413</v>
      </c>
      <c r="I53" s="279">
        <v>1.7928151105384729</v>
      </c>
      <c r="J53" s="279">
        <v>1.9792308105643044</v>
      </c>
      <c r="K53" s="279">
        <v>2.1656465105901357</v>
      </c>
      <c r="L53" s="279">
        <v>2.3520622106159674</v>
      </c>
      <c r="M53" s="279">
        <v>2.5384779106417992</v>
      </c>
      <c r="N53" s="258">
        <v>2.7248936106676309</v>
      </c>
    </row>
  </sheetData>
  <mergeCells count="10">
    <mergeCell ref="D25:N25"/>
    <mergeCell ref="B27:B37"/>
    <mergeCell ref="D41:N41"/>
    <mergeCell ref="B43:B53"/>
    <mergeCell ref="Q5:R5"/>
    <mergeCell ref="N5:O5"/>
    <mergeCell ref="K5:L5"/>
    <mergeCell ref="B5:C5"/>
    <mergeCell ref="H5:I5"/>
    <mergeCell ref="E5:F5"/>
  </mergeCells>
  <conditionalFormatting sqref="D27:N37">
    <cfRule type="colorScale" priority="2">
      <colorScale>
        <cfvo type="min"/>
        <cfvo type="num" val="1"/>
        <cfvo type="max"/>
        <color rgb="FFF8696B"/>
        <color rgb="FFFFEB84"/>
        <color rgb="FF63BE7B"/>
      </colorScale>
    </cfRule>
  </conditionalFormatting>
  <conditionalFormatting sqref="D43:N53">
    <cfRule type="colorScale" priority="1">
      <colorScale>
        <cfvo type="min"/>
        <cfvo type="num" val="1"/>
        <cfvo type="max"/>
        <color rgb="FFF8696B"/>
        <color rgb="FFFFEB84"/>
        <color rgb="FF63BE7B"/>
      </colorScale>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38"/>
  <sheetViews>
    <sheetView zoomScale="85" zoomScaleNormal="85" workbookViewId="0">
      <selection activeCell="N2" sqref="N2:P2"/>
    </sheetView>
  </sheetViews>
  <sheetFormatPr defaultColWidth="8.85546875" defaultRowHeight="15" x14ac:dyDescent="0.25"/>
  <cols>
    <col min="1" max="1" width="9.42578125" customWidth="1"/>
    <col min="2" max="3" width="14.28515625" bestFit="1" customWidth="1"/>
    <col min="4" max="4" width="13.42578125" customWidth="1"/>
    <col min="5" max="5" width="11.140625" customWidth="1"/>
    <col min="6" max="6" width="12" customWidth="1"/>
    <col min="8" max="8" width="12" customWidth="1"/>
    <col min="9" max="9" width="14" customWidth="1"/>
    <col min="10" max="10" width="14.85546875" customWidth="1"/>
    <col min="11" max="11" width="13.42578125" customWidth="1"/>
    <col min="12" max="12" width="13.42578125" bestFit="1" customWidth="1"/>
    <col min="13" max="13" width="13.85546875" customWidth="1"/>
    <col min="14" max="14" width="18.5703125" customWidth="1"/>
    <col min="15" max="15" width="17.7109375" customWidth="1"/>
    <col min="16" max="16" width="13.85546875" customWidth="1"/>
    <col min="17" max="17" width="14.7109375" customWidth="1"/>
    <col min="18" max="18" width="14" customWidth="1"/>
    <col min="19" max="19" width="14.42578125" customWidth="1"/>
    <col min="20" max="20" width="14.28515625" bestFit="1" customWidth="1"/>
    <col min="21" max="21" width="13.7109375" customWidth="1"/>
    <col min="22" max="22" width="15.42578125" customWidth="1"/>
  </cols>
  <sheetData>
    <row r="1" spans="1:22" ht="15.75" customHeight="1" thickBot="1" x14ac:dyDescent="0.3">
      <c r="A1" s="26"/>
      <c r="B1" s="625" t="s">
        <v>44</v>
      </c>
      <c r="C1" s="626"/>
      <c r="D1" s="627"/>
      <c r="E1" s="625" t="s">
        <v>45</v>
      </c>
      <c r="F1" s="626"/>
      <c r="G1" s="626"/>
      <c r="H1" s="626"/>
      <c r="I1" s="626"/>
      <c r="J1" s="626"/>
      <c r="K1" s="626"/>
      <c r="L1" s="626"/>
      <c r="M1" s="626"/>
      <c r="N1" s="626"/>
      <c r="O1" s="626"/>
      <c r="P1" s="627"/>
      <c r="Q1" s="628" t="s">
        <v>46</v>
      </c>
      <c r="R1" s="629"/>
      <c r="S1" s="629"/>
      <c r="T1" s="629"/>
      <c r="U1" s="629"/>
      <c r="V1" s="630"/>
    </row>
    <row r="2" spans="1:22" ht="24" customHeight="1" x14ac:dyDescent="0.25">
      <c r="A2" s="12"/>
      <c r="B2" s="628" t="s">
        <v>377</v>
      </c>
      <c r="C2" s="629"/>
      <c r="D2" s="630"/>
      <c r="E2" s="643" t="s">
        <v>48</v>
      </c>
      <c r="F2" s="644"/>
      <c r="G2" s="645"/>
      <c r="H2" s="646" t="s">
        <v>395</v>
      </c>
      <c r="I2" s="644"/>
      <c r="J2" s="645"/>
      <c r="K2" s="646" t="s">
        <v>49</v>
      </c>
      <c r="L2" s="644"/>
      <c r="M2" s="645"/>
      <c r="N2" s="646" t="s">
        <v>375</v>
      </c>
      <c r="O2" s="644"/>
      <c r="P2" s="647"/>
      <c r="Q2" s="629" t="s">
        <v>16</v>
      </c>
      <c r="R2" s="629"/>
      <c r="S2" s="630"/>
      <c r="T2" s="629" t="s">
        <v>17</v>
      </c>
      <c r="U2" s="629"/>
      <c r="V2" s="630"/>
    </row>
    <row r="3" spans="1:22" ht="18.600000000000001" customHeight="1" thickBot="1" x14ac:dyDescent="0.3">
      <c r="A3" s="27" t="s">
        <v>22</v>
      </c>
      <c r="B3" s="31" t="s">
        <v>23</v>
      </c>
      <c r="C3" s="28" t="s">
        <v>24</v>
      </c>
      <c r="D3" s="32" t="s">
        <v>25</v>
      </c>
      <c r="E3" s="18" t="s">
        <v>23</v>
      </c>
      <c r="F3" s="19" t="s">
        <v>24</v>
      </c>
      <c r="G3" s="30" t="s">
        <v>25</v>
      </c>
      <c r="H3" s="29" t="s">
        <v>23</v>
      </c>
      <c r="I3" s="19" t="s">
        <v>24</v>
      </c>
      <c r="J3" s="30" t="s">
        <v>25</v>
      </c>
      <c r="K3" s="29" t="s">
        <v>23</v>
      </c>
      <c r="L3" s="19" t="s">
        <v>24</v>
      </c>
      <c r="M3" s="30" t="s">
        <v>25</v>
      </c>
      <c r="N3" s="29" t="s">
        <v>23</v>
      </c>
      <c r="O3" s="19" t="s">
        <v>24</v>
      </c>
      <c r="P3" s="20" t="s">
        <v>25</v>
      </c>
      <c r="Q3" s="19" t="s">
        <v>23</v>
      </c>
      <c r="R3" s="19" t="s">
        <v>24</v>
      </c>
      <c r="S3" s="20" t="s">
        <v>25</v>
      </c>
      <c r="T3" s="19" t="s">
        <v>23</v>
      </c>
      <c r="U3" s="19" t="s">
        <v>24</v>
      </c>
      <c r="V3" s="20" t="s">
        <v>25</v>
      </c>
    </row>
    <row r="4" spans="1:22" x14ac:dyDescent="0.25">
      <c r="A4" s="41" t="s">
        <v>26</v>
      </c>
      <c r="B4" s="35">
        <f>'Parametre - Agendové IS'!D116</f>
        <v>0</v>
      </c>
      <c r="C4" s="35">
        <f>'Parametre - Agendové IS'!E116</f>
        <v>0</v>
      </c>
      <c r="D4" s="37">
        <f>IF(ISERR(C4-B4),"-",C4-B4)</f>
        <v>0</v>
      </c>
      <c r="E4" s="43"/>
      <c r="F4" s="38"/>
      <c r="G4" s="44">
        <f t="shared" ref="G4:G13" si="0">IF(ISERR(F4-E4),"-",F4-E4)</f>
        <v>0</v>
      </c>
      <c r="H4" s="39">
        <v>0</v>
      </c>
      <c r="I4" s="34">
        <f>'Parametre - Agendové IS'!E96</f>
        <v>0</v>
      </c>
      <c r="J4" s="44">
        <f>IF(ISERR(I4-H4),"-",I4-H4)</f>
        <v>0</v>
      </c>
      <c r="K4" s="35">
        <f>'Parametre - Agendové IS'!D126</f>
        <v>0</v>
      </c>
      <c r="L4" s="35">
        <f>'Parametre - Agendové IS'!E126</f>
        <v>0</v>
      </c>
      <c r="M4" s="37">
        <f>IF(ISERR(L4-K4),"-",L4-K4)</f>
        <v>0</v>
      </c>
      <c r="N4" s="34">
        <f>-'Parametre - Agendové IS'!D76</f>
        <v>-4140656.3266833336</v>
      </c>
      <c r="O4" s="34">
        <f>-'Parametre - Agendové IS'!E76</f>
        <v>-4140656.3266833336</v>
      </c>
      <c r="P4" s="44">
        <f>IF(ISERR(O4-N4),"-",O4-N4)</f>
        <v>0</v>
      </c>
      <c r="Q4" s="35">
        <f>SUM(B4,E4)</f>
        <v>0</v>
      </c>
      <c r="R4" s="34">
        <f t="shared" ref="R4:R13" si="1">SUM(C4,F4)</f>
        <v>0</v>
      </c>
      <c r="S4" s="37">
        <f>R4-Q4</f>
        <v>0</v>
      </c>
      <c r="T4" s="35">
        <f>SUM(H4,K4,N4)</f>
        <v>-4140656.3266833336</v>
      </c>
      <c r="U4" s="34">
        <f>SUM(I4,L4,O4)</f>
        <v>-4140656.3266833336</v>
      </c>
      <c r="V4" s="37">
        <f>U4-T4</f>
        <v>0</v>
      </c>
    </row>
    <row r="5" spans="1:22" x14ac:dyDescent="0.25">
      <c r="A5" s="42" t="s">
        <v>27</v>
      </c>
      <c r="B5" s="35">
        <f>'Parametre - Agendové IS'!D117</f>
        <v>0</v>
      </c>
      <c r="C5" s="35">
        <f>'Parametre - Agendové IS'!E117</f>
        <v>0</v>
      </c>
      <c r="D5" s="37">
        <f t="shared" ref="D5:D13" si="2">IF(ISERR(C5-B5),"-",C5-B5)</f>
        <v>0</v>
      </c>
      <c r="E5" s="43"/>
      <c r="F5" s="38"/>
      <c r="G5" s="37">
        <f t="shared" si="0"/>
        <v>0</v>
      </c>
      <c r="H5" s="39">
        <v>0</v>
      </c>
      <c r="I5" s="34">
        <f>'Parametre - Agendové IS'!E97</f>
        <v>0</v>
      </c>
      <c r="J5" s="152">
        <f>IF(ISERR(I5-H5),"-",I5-H5)</f>
        <v>0</v>
      </c>
      <c r="K5" s="35">
        <f>'Parametre - Agendové IS'!D127</f>
        <v>0</v>
      </c>
      <c r="L5" s="35">
        <f>'Parametre - Agendové IS'!E127</f>
        <v>0</v>
      </c>
      <c r="M5" s="37">
        <f t="shared" ref="M5:M13" si="3">IF(ISERR(L5-K5),"-",L5-K5)</f>
        <v>0</v>
      </c>
      <c r="N5" s="34">
        <f>-'Parametre - Agendové IS'!D77</f>
        <v>-4140656.3266833336</v>
      </c>
      <c r="O5" s="34">
        <f>-'Parametre - Agendové IS'!E77</f>
        <v>-4140656.3266833336</v>
      </c>
      <c r="P5" s="37">
        <f>IF(ISERR(O5-N5),"-",O5-N5)</f>
        <v>0</v>
      </c>
      <c r="Q5" s="35">
        <f t="shared" ref="Q5:Q13" si="4">SUM(B5,E5)</f>
        <v>0</v>
      </c>
      <c r="R5" s="34">
        <f t="shared" si="1"/>
        <v>0</v>
      </c>
      <c r="S5" s="37">
        <f t="shared" ref="S5:S12" si="5">R5-Q5</f>
        <v>0</v>
      </c>
      <c r="T5" s="35">
        <f t="shared" ref="T5:U13" si="6">SUM(H5,K5,N5)</f>
        <v>-4140656.3266833336</v>
      </c>
      <c r="U5" s="34">
        <f t="shared" si="6"/>
        <v>-4140656.3266833336</v>
      </c>
      <c r="V5" s="37">
        <f t="shared" ref="V5:V13" si="7">U5-T5</f>
        <v>0</v>
      </c>
    </row>
    <row r="6" spans="1:22" x14ac:dyDescent="0.25">
      <c r="A6" s="42" t="s">
        <v>28</v>
      </c>
      <c r="B6" s="35">
        <f>'Parametre - Agendové IS'!D118</f>
        <v>0</v>
      </c>
      <c r="C6" s="35">
        <f>'Parametre - Agendové IS'!E118</f>
        <v>0</v>
      </c>
      <c r="D6" s="37">
        <f t="shared" si="2"/>
        <v>0</v>
      </c>
      <c r="E6" s="43"/>
      <c r="F6" s="38"/>
      <c r="G6" s="37">
        <f t="shared" si="0"/>
        <v>0</v>
      </c>
      <c r="H6" s="39">
        <v>0</v>
      </c>
      <c r="I6" s="34">
        <f>'Parametre - Agendové IS'!E98</f>
        <v>0</v>
      </c>
      <c r="J6" s="37">
        <f t="shared" ref="J6:J13" si="8">IF(ISERR(I6-H6),"-",I6-H6)</f>
        <v>0</v>
      </c>
      <c r="K6" s="35">
        <f>'Parametre - Agendové IS'!D128</f>
        <v>0</v>
      </c>
      <c r="L6" s="35">
        <f>'Parametre - Agendové IS'!E128</f>
        <v>0</v>
      </c>
      <c r="M6" s="37">
        <f t="shared" si="3"/>
        <v>0</v>
      </c>
      <c r="N6" s="34">
        <f>-'Parametre - Agendové IS'!D78</f>
        <v>-4140656.3266833336</v>
      </c>
      <c r="O6" s="34">
        <f>-'Parametre - Agendové IS'!E78</f>
        <v>-2417856</v>
      </c>
      <c r="P6" s="37">
        <f>IF(ISERR(O6-N6),"-",O6-N6)</f>
        <v>1722800.3266833336</v>
      </c>
      <c r="Q6" s="35">
        <f t="shared" si="4"/>
        <v>0</v>
      </c>
      <c r="R6" s="34">
        <f t="shared" si="1"/>
        <v>0</v>
      </c>
      <c r="S6" s="37">
        <f t="shared" si="5"/>
        <v>0</v>
      </c>
      <c r="T6" s="35">
        <f t="shared" si="6"/>
        <v>-4140656.3266833336</v>
      </c>
      <c r="U6" s="34">
        <f t="shared" si="6"/>
        <v>-2417856</v>
      </c>
      <c r="V6" s="37">
        <f t="shared" si="7"/>
        <v>1722800.3266833336</v>
      </c>
    </row>
    <row r="7" spans="1:22" x14ac:dyDescent="0.25">
      <c r="A7" s="42" t="s">
        <v>29</v>
      </c>
      <c r="B7" s="35">
        <f>'Parametre - Agendové IS'!D119</f>
        <v>0</v>
      </c>
      <c r="C7" s="35">
        <f>'Parametre - Agendové IS'!E119</f>
        <v>0</v>
      </c>
      <c r="D7" s="37">
        <f t="shared" si="2"/>
        <v>0</v>
      </c>
      <c r="E7" s="43"/>
      <c r="F7" s="38"/>
      <c r="G7" s="37">
        <f t="shared" si="0"/>
        <v>0</v>
      </c>
      <c r="H7" s="39">
        <v>0</v>
      </c>
      <c r="I7" s="34">
        <f>'Parametre - Agendové IS'!E99</f>
        <v>0</v>
      </c>
      <c r="J7" s="37">
        <f t="shared" si="8"/>
        <v>0</v>
      </c>
      <c r="K7" s="35">
        <f>'Parametre - Agendové IS'!D129</f>
        <v>0</v>
      </c>
      <c r="L7" s="35">
        <f>'Parametre - Agendové IS'!E129</f>
        <v>0</v>
      </c>
      <c r="M7" s="37">
        <f t="shared" si="3"/>
        <v>0</v>
      </c>
      <c r="N7" s="34">
        <f>-'Parametre - Agendové IS'!D79</f>
        <v>-4140656.3266833336</v>
      </c>
      <c r="O7" s="34">
        <f>-'Parametre - Agendové IS'!E79</f>
        <v>-2417856</v>
      </c>
      <c r="P7" s="37">
        <f>IF(ISERR(O7-N7),"-",O7-N7)</f>
        <v>1722800.3266833336</v>
      </c>
      <c r="Q7" s="35">
        <f t="shared" si="4"/>
        <v>0</v>
      </c>
      <c r="R7" s="34">
        <f t="shared" si="1"/>
        <v>0</v>
      </c>
      <c r="S7" s="37">
        <f t="shared" si="5"/>
        <v>0</v>
      </c>
      <c r="T7" s="35">
        <f t="shared" si="6"/>
        <v>-4140656.3266833336</v>
      </c>
      <c r="U7" s="34">
        <f t="shared" si="6"/>
        <v>-2417856</v>
      </c>
      <c r="V7" s="37">
        <f t="shared" si="7"/>
        <v>1722800.3266833336</v>
      </c>
    </row>
    <row r="8" spans="1:22" x14ac:dyDescent="0.25">
      <c r="A8" s="42" t="s">
        <v>30</v>
      </c>
      <c r="B8" s="35">
        <f>'Parametre - Agendové IS'!D120</f>
        <v>0</v>
      </c>
      <c r="C8" s="35">
        <f>'Parametre - Agendové IS'!E120</f>
        <v>0</v>
      </c>
      <c r="D8" s="37">
        <f t="shared" si="2"/>
        <v>0</v>
      </c>
      <c r="E8" s="43"/>
      <c r="F8" s="38"/>
      <c r="G8" s="37">
        <f t="shared" si="0"/>
        <v>0</v>
      </c>
      <c r="H8" s="39">
        <v>0</v>
      </c>
      <c r="I8" s="34">
        <f>'Parametre - Agendové IS'!E100</f>
        <v>0</v>
      </c>
      <c r="J8" s="37">
        <f t="shared" si="8"/>
        <v>0</v>
      </c>
      <c r="K8" s="35">
        <f>'Parametre - Agendové IS'!D130</f>
        <v>0</v>
      </c>
      <c r="L8" s="35">
        <f>'Parametre - Agendové IS'!E130</f>
        <v>0</v>
      </c>
      <c r="M8" s="37">
        <f t="shared" si="3"/>
        <v>0</v>
      </c>
      <c r="N8" s="34">
        <f>-'Parametre - Agendové IS'!D80</f>
        <v>-4140656.3266833336</v>
      </c>
      <c r="O8" s="34">
        <f>-'Parametre - Agendové IS'!E80</f>
        <v>-2417856</v>
      </c>
      <c r="P8" s="37">
        <f>IF(ISERR(O8-N8),"-",O8-N8)</f>
        <v>1722800.3266833336</v>
      </c>
      <c r="Q8" s="35">
        <f t="shared" si="4"/>
        <v>0</v>
      </c>
      <c r="R8" s="34">
        <f t="shared" si="1"/>
        <v>0</v>
      </c>
      <c r="S8" s="37">
        <f t="shared" si="5"/>
        <v>0</v>
      </c>
      <c r="T8" s="35">
        <f t="shared" si="6"/>
        <v>-4140656.3266833336</v>
      </c>
      <c r="U8" s="34">
        <f t="shared" si="6"/>
        <v>-2417856</v>
      </c>
      <c r="V8" s="37">
        <f t="shared" si="7"/>
        <v>1722800.3266833336</v>
      </c>
    </row>
    <row r="9" spans="1:22" x14ac:dyDescent="0.25">
      <c r="A9" s="42" t="s">
        <v>31</v>
      </c>
      <c r="B9" s="35">
        <f>'Parametre - Agendové IS'!D121</f>
        <v>0</v>
      </c>
      <c r="C9" s="35">
        <f>'Parametre - Agendové IS'!E121</f>
        <v>0</v>
      </c>
      <c r="D9" s="37">
        <f t="shared" si="2"/>
        <v>0</v>
      </c>
      <c r="E9" s="43"/>
      <c r="F9" s="38"/>
      <c r="G9" s="37">
        <f t="shared" si="0"/>
        <v>0</v>
      </c>
      <c r="H9" s="39">
        <v>0</v>
      </c>
      <c r="I9" s="34">
        <f>'Parametre - Agendové IS'!E101</f>
        <v>0</v>
      </c>
      <c r="J9" s="37">
        <f t="shared" si="8"/>
        <v>0</v>
      </c>
      <c r="K9" s="35">
        <f>'Parametre - Agendové IS'!D131</f>
        <v>0</v>
      </c>
      <c r="L9" s="35">
        <f>'Parametre - Agendové IS'!E131</f>
        <v>0</v>
      </c>
      <c r="M9" s="37">
        <f t="shared" si="3"/>
        <v>0</v>
      </c>
      <c r="N9" s="34">
        <f>-'Parametre - Agendové IS'!D81</f>
        <v>-4140656.3266833336</v>
      </c>
      <c r="O9" s="34">
        <f>-'Parametre - Agendové IS'!E81</f>
        <v>-2417856</v>
      </c>
      <c r="P9" s="37">
        <f t="shared" ref="P9:P13" si="9">IF(ISERR(O9-N9),"-",O9-N9)</f>
        <v>1722800.3266833336</v>
      </c>
      <c r="Q9" s="35">
        <f t="shared" si="4"/>
        <v>0</v>
      </c>
      <c r="R9" s="34">
        <f t="shared" si="1"/>
        <v>0</v>
      </c>
      <c r="S9" s="37">
        <f t="shared" si="5"/>
        <v>0</v>
      </c>
      <c r="T9" s="35">
        <f t="shared" si="6"/>
        <v>-4140656.3266833336</v>
      </c>
      <c r="U9" s="34">
        <f t="shared" si="6"/>
        <v>-2417856</v>
      </c>
      <c r="V9" s="37">
        <f t="shared" si="7"/>
        <v>1722800.3266833336</v>
      </c>
    </row>
    <row r="10" spans="1:22" x14ac:dyDescent="0.25">
      <c r="A10" s="42" t="s">
        <v>32</v>
      </c>
      <c r="B10" s="35">
        <f>'Parametre - Agendové IS'!D122</f>
        <v>0</v>
      </c>
      <c r="C10" s="35">
        <f>'Parametre - Agendové IS'!E122</f>
        <v>0</v>
      </c>
      <c r="D10" s="37">
        <f t="shared" si="2"/>
        <v>0</v>
      </c>
      <c r="E10" s="43"/>
      <c r="F10" s="38"/>
      <c r="G10" s="37">
        <f t="shared" si="0"/>
        <v>0</v>
      </c>
      <c r="H10" s="39">
        <v>0</v>
      </c>
      <c r="I10" s="34">
        <f>'Parametre - Agendové IS'!E102</f>
        <v>0</v>
      </c>
      <c r="J10" s="37">
        <f t="shared" si="8"/>
        <v>0</v>
      </c>
      <c r="K10" s="35">
        <f>'Parametre - Agendové IS'!D132</f>
        <v>0</v>
      </c>
      <c r="L10" s="35">
        <f>'Parametre - Agendové IS'!E132</f>
        <v>0</v>
      </c>
      <c r="M10" s="37">
        <f t="shared" si="3"/>
        <v>0</v>
      </c>
      <c r="N10" s="34">
        <f>-'Parametre - Agendové IS'!D82</f>
        <v>-4140656.3266833336</v>
      </c>
      <c r="O10" s="34">
        <f>-'Parametre - Agendové IS'!E82</f>
        <v>-2417856</v>
      </c>
      <c r="P10" s="37">
        <f t="shared" si="9"/>
        <v>1722800.3266833336</v>
      </c>
      <c r="Q10" s="35">
        <f t="shared" si="4"/>
        <v>0</v>
      </c>
      <c r="R10" s="34">
        <f t="shared" si="1"/>
        <v>0</v>
      </c>
      <c r="S10" s="37">
        <f t="shared" si="5"/>
        <v>0</v>
      </c>
      <c r="T10" s="35">
        <f t="shared" si="6"/>
        <v>-4140656.3266833336</v>
      </c>
      <c r="U10" s="34">
        <f t="shared" si="6"/>
        <v>-2417856</v>
      </c>
      <c r="V10" s="37">
        <f t="shared" si="7"/>
        <v>1722800.3266833336</v>
      </c>
    </row>
    <row r="11" spans="1:22" x14ac:dyDescent="0.25">
      <c r="A11" s="42" t="s">
        <v>33</v>
      </c>
      <c r="B11" s="35">
        <f>'Parametre - Agendové IS'!D123</f>
        <v>0</v>
      </c>
      <c r="C11" s="35">
        <f>'Parametre - Agendové IS'!E123</f>
        <v>0</v>
      </c>
      <c r="D11" s="37">
        <f t="shared" si="2"/>
        <v>0</v>
      </c>
      <c r="E11" s="43"/>
      <c r="F11" s="38"/>
      <c r="G11" s="37">
        <f t="shared" si="0"/>
        <v>0</v>
      </c>
      <c r="H11" s="39">
        <v>0</v>
      </c>
      <c r="I11" s="34">
        <f>'Parametre - Agendové IS'!E103</f>
        <v>0</v>
      </c>
      <c r="J11" s="37">
        <f t="shared" si="8"/>
        <v>0</v>
      </c>
      <c r="K11" s="35">
        <f>'Parametre - Agendové IS'!D133</f>
        <v>0</v>
      </c>
      <c r="L11" s="35">
        <f>'Parametre - Agendové IS'!E133</f>
        <v>0</v>
      </c>
      <c r="M11" s="37">
        <f t="shared" si="3"/>
        <v>0</v>
      </c>
      <c r="N11" s="34">
        <f>-'Parametre - Agendové IS'!D83</f>
        <v>-4140656.3266833336</v>
      </c>
      <c r="O11" s="34">
        <f>-'Parametre - Agendové IS'!E83</f>
        <v>-2417856</v>
      </c>
      <c r="P11" s="37">
        <f t="shared" si="9"/>
        <v>1722800.3266833336</v>
      </c>
      <c r="Q11" s="35">
        <f t="shared" si="4"/>
        <v>0</v>
      </c>
      <c r="R11" s="34">
        <f t="shared" si="1"/>
        <v>0</v>
      </c>
      <c r="S11" s="37">
        <f t="shared" si="5"/>
        <v>0</v>
      </c>
      <c r="T11" s="35">
        <f t="shared" si="6"/>
        <v>-4140656.3266833336</v>
      </c>
      <c r="U11" s="34">
        <f t="shared" si="6"/>
        <v>-2417856</v>
      </c>
      <c r="V11" s="37">
        <f t="shared" si="7"/>
        <v>1722800.3266833336</v>
      </c>
    </row>
    <row r="12" spans="1:22" x14ac:dyDescent="0.25">
      <c r="A12" s="42" t="s">
        <v>34</v>
      </c>
      <c r="B12" s="35">
        <f>'Parametre - Agendové IS'!D124</f>
        <v>0</v>
      </c>
      <c r="C12" s="35">
        <f>'Parametre - Agendové IS'!E124</f>
        <v>0</v>
      </c>
      <c r="D12" s="37">
        <f t="shared" si="2"/>
        <v>0</v>
      </c>
      <c r="E12" s="43"/>
      <c r="F12" s="38"/>
      <c r="G12" s="37">
        <f t="shared" si="0"/>
        <v>0</v>
      </c>
      <c r="H12" s="39">
        <v>0</v>
      </c>
      <c r="I12" s="34">
        <f>'Parametre - Agendové IS'!E104</f>
        <v>0</v>
      </c>
      <c r="J12" s="37">
        <f t="shared" si="8"/>
        <v>0</v>
      </c>
      <c r="K12" s="35">
        <f>'Parametre - Agendové IS'!D134</f>
        <v>0</v>
      </c>
      <c r="L12" s="35">
        <f>'Parametre - Agendové IS'!E134</f>
        <v>0</v>
      </c>
      <c r="M12" s="37">
        <f t="shared" si="3"/>
        <v>0</v>
      </c>
      <c r="N12" s="34">
        <f>-'Parametre - Agendové IS'!D84</f>
        <v>-4140656.3266833336</v>
      </c>
      <c r="O12" s="34">
        <f>-'Parametre - Agendové IS'!E84</f>
        <v>-2417856</v>
      </c>
      <c r="P12" s="37">
        <f t="shared" si="9"/>
        <v>1722800.3266833336</v>
      </c>
      <c r="Q12" s="35">
        <f t="shared" si="4"/>
        <v>0</v>
      </c>
      <c r="R12" s="34">
        <f t="shared" si="1"/>
        <v>0</v>
      </c>
      <c r="S12" s="37">
        <f t="shared" si="5"/>
        <v>0</v>
      </c>
      <c r="T12" s="35">
        <f t="shared" si="6"/>
        <v>-4140656.3266833336</v>
      </c>
      <c r="U12" s="34">
        <f t="shared" si="6"/>
        <v>-2417856</v>
      </c>
      <c r="V12" s="37">
        <f t="shared" si="7"/>
        <v>1722800.3266833336</v>
      </c>
    </row>
    <row r="13" spans="1:22" ht="15.6" customHeight="1" thickBot="1" x14ac:dyDescent="0.3">
      <c r="A13" s="42" t="s">
        <v>35</v>
      </c>
      <c r="B13" s="59">
        <f>'Parametre - Agendové IS'!D125</f>
        <v>0</v>
      </c>
      <c r="C13" s="59">
        <f>'Parametre - Agendové IS'!E125</f>
        <v>0</v>
      </c>
      <c r="D13" s="176">
        <f t="shared" si="2"/>
        <v>0</v>
      </c>
      <c r="E13" s="179"/>
      <c r="F13" s="180"/>
      <c r="G13" s="176">
        <f t="shared" si="0"/>
        <v>0</v>
      </c>
      <c r="H13" s="39">
        <v>0</v>
      </c>
      <c r="I13" s="55">
        <f>'Parametre - Agendové IS'!E105</f>
        <v>0</v>
      </c>
      <c r="J13" s="176">
        <f t="shared" si="8"/>
        <v>0</v>
      </c>
      <c r="K13" s="59">
        <f>'Parametre - Agendové IS'!D135</f>
        <v>0</v>
      </c>
      <c r="L13" s="59">
        <f>'Parametre - Agendové IS'!E135</f>
        <v>0</v>
      </c>
      <c r="M13" s="176">
        <f t="shared" si="3"/>
        <v>0</v>
      </c>
      <c r="N13" s="55">
        <f>-'Parametre - Agendové IS'!D85</f>
        <v>-4140656.3266833336</v>
      </c>
      <c r="O13" s="55">
        <f>-'Parametre - Agendové IS'!E85</f>
        <v>-2417856</v>
      </c>
      <c r="P13" s="55">
        <f t="shared" si="9"/>
        <v>1722800.3266833336</v>
      </c>
      <c r="Q13" s="181">
        <f t="shared" si="4"/>
        <v>0</v>
      </c>
      <c r="R13" s="55">
        <f t="shared" si="1"/>
        <v>0</v>
      </c>
      <c r="S13" s="176">
        <f>R13-Q13</f>
        <v>0</v>
      </c>
      <c r="T13" s="59">
        <f t="shared" si="6"/>
        <v>-4140656.3266833336</v>
      </c>
      <c r="U13" s="55">
        <f t="shared" si="6"/>
        <v>-2417856</v>
      </c>
      <c r="V13" s="176">
        <f t="shared" si="7"/>
        <v>1722800.3266833336</v>
      </c>
    </row>
    <row r="14" spans="1:22" x14ac:dyDescent="0.25">
      <c r="A14" s="182" t="s">
        <v>104</v>
      </c>
      <c r="B14" s="184">
        <f>SUM(B4:B13)</f>
        <v>0</v>
      </c>
      <c r="C14" s="184">
        <f t="shared" ref="C14:P14" si="10">SUM(C4:C13)</f>
        <v>0</v>
      </c>
      <c r="D14" s="185">
        <f t="shared" si="10"/>
        <v>0</v>
      </c>
      <c r="E14" s="184">
        <f t="shared" si="10"/>
        <v>0</v>
      </c>
      <c r="F14" s="186">
        <f t="shared" si="10"/>
        <v>0</v>
      </c>
      <c r="G14" s="185">
        <f t="shared" si="10"/>
        <v>0</v>
      </c>
      <c r="H14" s="184">
        <f t="shared" si="10"/>
        <v>0</v>
      </c>
      <c r="I14" s="186">
        <f t="shared" si="10"/>
        <v>0</v>
      </c>
      <c r="J14" s="185">
        <f t="shared" si="10"/>
        <v>0</v>
      </c>
      <c r="K14" s="184">
        <f t="shared" si="10"/>
        <v>0</v>
      </c>
      <c r="L14" s="184">
        <f t="shared" si="10"/>
        <v>0</v>
      </c>
      <c r="M14" s="185">
        <f t="shared" si="10"/>
        <v>0</v>
      </c>
      <c r="N14" s="186">
        <f t="shared" si="10"/>
        <v>-41406563.266833343</v>
      </c>
      <c r="O14" s="186">
        <f t="shared" si="10"/>
        <v>-27624160.653366666</v>
      </c>
      <c r="P14" s="187">
        <f t="shared" si="10"/>
        <v>13782402.613466667</v>
      </c>
      <c r="Q14" s="188">
        <f t="shared" ref="Q14:U14" si="11">SUM(Q4:Q13)</f>
        <v>0</v>
      </c>
      <c r="R14" s="186">
        <f t="shared" si="11"/>
        <v>0</v>
      </c>
      <c r="S14" s="189">
        <f t="shared" si="11"/>
        <v>0</v>
      </c>
      <c r="T14" s="188">
        <f t="shared" si="11"/>
        <v>-41406563.266833343</v>
      </c>
      <c r="U14" s="186">
        <f t="shared" si="11"/>
        <v>-27624160.653366666</v>
      </c>
      <c r="V14" s="190">
        <f>SUM(V4:V13)</f>
        <v>13782402.613466667</v>
      </c>
    </row>
    <row r="15" spans="1:22" ht="15.75" thickBot="1" x14ac:dyDescent="0.3">
      <c r="A15" s="183" t="s">
        <v>124</v>
      </c>
      <c r="B15" s="191"/>
      <c r="C15" s="191"/>
      <c r="D15" s="192">
        <f>D4+NPV(Faktory!$D$5,'Prínosy - Agendové IS'!D5:D13)</f>
        <v>0</v>
      </c>
      <c r="E15" s="193"/>
      <c r="F15" s="194"/>
      <c r="G15" s="192">
        <f>G4+NPV(Faktory!$D$3,'Prínosy - Agendové IS'!G5:G13)</f>
        <v>0</v>
      </c>
      <c r="H15" s="193"/>
      <c r="I15" s="194"/>
      <c r="J15" s="192">
        <f>J4+NPV(Faktory!$D$5,'Prínosy - Agendové IS'!J5:J13)</f>
        <v>0</v>
      </c>
      <c r="K15" s="191"/>
      <c r="L15" s="191"/>
      <c r="M15" s="192">
        <f>M4+NPV(Faktory!$D$5,'Prínosy - Agendové IS'!M5:M13)</f>
        <v>0</v>
      </c>
      <c r="N15" s="194"/>
      <c r="O15" s="194"/>
      <c r="P15" s="195">
        <f>P4+NPV(Faktory!$D$5,'Prínosy - Agendové IS'!P5:P13)</f>
        <v>10604595.288917564</v>
      </c>
      <c r="Q15" s="196"/>
      <c r="R15" s="194"/>
      <c r="S15" s="192">
        <f>S4+NPV(Faktory!$D$5,'Prínosy - Agendové IS'!S5:S13)</f>
        <v>0</v>
      </c>
      <c r="T15" s="196"/>
      <c r="U15" s="194"/>
      <c r="V15" s="192">
        <f>V4+NPV(Faktory!$D$5,'Prínosy - Agendové IS'!V5:V13)</f>
        <v>10604595.288917564</v>
      </c>
    </row>
    <row r="17" spans="2:2" x14ac:dyDescent="0.25">
      <c r="B17" s="118" t="s">
        <v>128</v>
      </c>
    </row>
    <row r="38" spans="15:15" x14ac:dyDescent="0.25">
      <c r="O38" s="178"/>
    </row>
  </sheetData>
  <mergeCells count="10">
    <mergeCell ref="B1:D1"/>
    <mergeCell ref="Q1:V1"/>
    <mergeCell ref="B2:D2"/>
    <mergeCell ref="E2:G2"/>
    <mergeCell ref="H2:J2"/>
    <mergeCell ref="K2:M2"/>
    <mergeCell ref="Q2:S2"/>
    <mergeCell ref="T2:V2"/>
    <mergeCell ref="N2:P2"/>
    <mergeCell ref="E1:P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22"/>
  <sheetViews>
    <sheetView zoomScale="80" zoomScaleNormal="80" workbookViewId="0"/>
  </sheetViews>
  <sheetFormatPr defaultColWidth="8.85546875" defaultRowHeight="15" x14ac:dyDescent="0.25"/>
  <cols>
    <col min="2" max="2" width="14.28515625" customWidth="1"/>
    <col min="3" max="3" width="15.85546875" bestFit="1" customWidth="1"/>
    <col min="4" max="4" width="16.7109375" bestFit="1" customWidth="1"/>
    <col min="5" max="6" width="13.42578125" bestFit="1" customWidth="1"/>
    <col min="7" max="7" width="16.7109375" bestFit="1" customWidth="1"/>
    <col min="8" max="8" width="14.42578125" bestFit="1" customWidth="1"/>
    <col min="9" max="9" width="13.42578125" bestFit="1" customWidth="1"/>
    <col min="10" max="10" width="16.7109375" bestFit="1" customWidth="1"/>
    <col min="11" max="11" width="13.42578125" bestFit="1" customWidth="1"/>
    <col min="12" max="12" width="15.85546875" bestFit="1" customWidth="1"/>
    <col min="13" max="13" width="15.28515625" customWidth="1"/>
    <col min="14" max="15" width="17" bestFit="1" customWidth="1"/>
    <col min="16" max="16" width="14.28515625" bestFit="1" customWidth="1"/>
  </cols>
  <sheetData>
    <row r="1" spans="1:17" ht="15.75" thickBot="1" x14ac:dyDescent="0.3">
      <c r="A1" s="49"/>
      <c r="B1" s="648" t="s">
        <v>143</v>
      </c>
      <c r="C1" s="648"/>
      <c r="D1" s="648"/>
      <c r="E1" s="648"/>
      <c r="F1" s="648"/>
      <c r="G1" s="648"/>
      <c r="H1" s="648"/>
      <c r="I1" s="648"/>
      <c r="J1" s="649"/>
      <c r="K1" s="648" t="s">
        <v>68</v>
      </c>
      <c r="L1" s="648"/>
      <c r="M1" s="648"/>
      <c r="N1" s="625" t="s">
        <v>69</v>
      </c>
      <c r="O1" s="626"/>
      <c r="P1" s="627"/>
    </row>
    <row r="2" spans="1:17" ht="15.75" customHeight="1" thickBot="1" x14ac:dyDescent="0.3">
      <c r="A2" s="12"/>
      <c r="B2" s="626" t="s">
        <v>65</v>
      </c>
      <c r="C2" s="626"/>
      <c r="D2" s="627"/>
      <c r="E2" s="626" t="s">
        <v>66</v>
      </c>
      <c r="F2" s="626"/>
      <c r="G2" s="627"/>
      <c r="H2" s="626" t="s">
        <v>106</v>
      </c>
      <c r="I2" s="626"/>
      <c r="J2" s="627"/>
      <c r="K2" s="626" t="s">
        <v>67</v>
      </c>
      <c r="L2" s="626"/>
      <c r="M2" s="627"/>
      <c r="N2" s="12"/>
      <c r="O2" s="12"/>
      <c r="P2" s="50"/>
    </row>
    <row r="3" spans="1:17" ht="19.350000000000001" customHeight="1" thickBot="1" x14ac:dyDescent="0.3">
      <c r="A3" s="52" t="s">
        <v>22</v>
      </c>
      <c r="B3" s="53" t="s">
        <v>23</v>
      </c>
      <c r="C3" s="53" t="s">
        <v>24</v>
      </c>
      <c r="D3" s="54" t="s">
        <v>25</v>
      </c>
      <c r="E3" s="53" t="s">
        <v>23</v>
      </c>
      <c r="F3" s="53" t="s">
        <v>24</v>
      </c>
      <c r="G3" s="54" t="s">
        <v>25</v>
      </c>
      <c r="H3" s="53" t="s">
        <v>23</v>
      </c>
      <c r="I3" s="53" t="s">
        <v>24</v>
      </c>
      <c r="J3" s="54" t="s">
        <v>25</v>
      </c>
      <c r="K3" s="53" t="s">
        <v>23</v>
      </c>
      <c r="L3" s="53" t="s">
        <v>24</v>
      </c>
      <c r="M3" s="54" t="s">
        <v>25</v>
      </c>
      <c r="N3" s="53" t="s">
        <v>23</v>
      </c>
      <c r="O3" s="53" t="s">
        <v>24</v>
      </c>
      <c r="P3" s="54" t="s">
        <v>25</v>
      </c>
    </row>
    <row r="4" spans="1:17" x14ac:dyDescent="0.25">
      <c r="A4" s="33" t="s">
        <v>26</v>
      </c>
      <c r="B4" s="34">
        <f>TCO!D24+TCO!D25</f>
        <v>0</v>
      </c>
      <c r="C4" s="34">
        <f>(TCO!D$11*(1+$Q$5))+TCO!D$12</f>
        <v>0</v>
      </c>
      <c r="D4" s="44">
        <f>C4-B4</f>
        <v>0</v>
      </c>
      <c r="E4" s="35">
        <f>TCO!D20+TCO!D21</f>
        <v>0</v>
      </c>
      <c r="F4" s="34">
        <f>(TCO!D$7*(1+$Q$5))+TCO!D$8</f>
        <v>0</v>
      </c>
      <c r="G4" s="44">
        <f>F4-E4</f>
        <v>0</v>
      </c>
      <c r="H4" s="34">
        <f>TCO!D22+TCO!D23</f>
        <v>528000</v>
      </c>
      <c r="I4" s="34">
        <f>(TCO!D$9*(1+$Q$5))+TCO!D$10</f>
        <v>4580046.53</v>
      </c>
      <c r="J4" s="44">
        <f>I4-H4</f>
        <v>4052046.5300000003</v>
      </c>
      <c r="K4" s="35">
        <f>'Parametre - Agendové IS'!D106</f>
        <v>433274.02913346863</v>
      </c>
      <c r="L4" s="35">
        <f>'Parametre - Agendové IS'!E106</f>
        <v>433274.02913346863</v>
      </c>
      <c r="M4" s="44">
        <f>IF(ISERR(L4-K4),"-",L4-K4)</f>
        <v>0</v>
      </c>
      <c r="N4" s="34">
        <f>SUM(B4,E4,H4,K4)</f>
        <v>961274.02913346863</v>
      </c>
      <c r="O4" s="34">
        <f>((C4+F4+I4)*(1+$Q$4))+L4</f>
        <v>5013320.5591334691</v>
      </c>
      <c r="P4" s="44">
        <f>O4-N4</f>
        <v>4052046.5300000003</v>
      </c>
      <c r="Q4" s="251">
        <f>'Analyza citlivosti - AgendovéIS'!B7</f>
        <v>0</v>
      </c>
    </row>
    <row r="5" spans="1:17" x14ac:dyDescent="0.25">
      <c r="A5" s="33" t="s">
        <v>27</v>
      </c>
      <c r="B5" s="34">
        <f>TCO!E24+TCO!E25</f>
        <v>0</v>
      </c>
      <c r="C5" s="34">
        <f>(TCO!E$11*(1+$Q$5))+TCO!E$12</f>
        <v>0</v>
      </c>
      <c r="D5" s="37">
        <f t="shared" ref="D5:D13" si="0">C5-B5</f>
        <v>0</v>
      </c>
      <c r="E5" s="35">
        <f>TCO!E20+TCO!E21</f>
        <v>0</v>
      </c>
      <c r="F5" s="34">
        <f>(TCO!E$7*(1+$Q$5))+TCO!E$8</f>
        <v>0</v>
      </c>
      <c r="G5" s="37">
        <f t="shared" ref="G5:G13" si="1">F5-E5</f>
        <v>0</v>
      </c>
      <c r="H5" s="34">
        <f>TCO!E22+TCO!E23</f>
        <v>528000</v>
      </c>
      <c r="I5" s="34">
        <f>(TCO!E$9*(1+$Q$5))+TCO!E$10</f>
        <v>1825465.73</v>
      </c>
      <c r="J5" s="37">
        <f t="shared" ref="J5:J13" si="2">I5-H5</f>
        <v>1297465.73</v>
      </c>
      <c r="K5" s="35">
        <f>'Parametre - Agendové IS'!D107</f>
        <v>433274.02913346863</v>
      </c>
      <c r="L5" s="35">
        <f>'Parametre - Agendové IS'!E107</f>
        <v>433274.02913346863</v>
      </c>
      <c r="M5" s="37">
        <f>IF(ISERR(L5-K5),"-",L5-K5)</f>
        <v>0</v>
      </c>
      <c r="N5" s="34">
        <f t="shared" ref="N5:N13" si="3">SUM(B5,E5,H5,K5)</f>
        <v>961274.02913346863</v>
      </c>
      <c r="O5" s="34">
        <f t="shared" ref="O5:O13" si="4">((C5+F5+I5)*(1+$Q$4))+L5</f>
        <v>2258739.7591334684</v>
      </c>
      <c r="P5" s="37">
        <f t="shared" ref="P5:P13" si="5">O5-N5</f>
        <v>1297465.7299999997</v>
      </c>
      <c r="Q5" s="251">
        <f>'Analyza citlivosti - AgendovéIS'!E7</f>
        <v>0</v>
      </c>
    </row>
    <row r="6" spans="1:17" x14ac:dyDescent="0.25">
      <c r="A6" s="33" t="s">
        <v>28</v>
      </c>
      <c r="B6" s="34">
        <f>TCO!F24+TCO!F25</f>
        <v>0</v>
      </c>
      <c r="C6" s="34">
        <f>(TCO!F$11*(1+$Q$5))+TCO!F$12</f>
        <v>0</v>
      </c>
      <c r="D6" s="37">
        <f t="shared" si="0"/>
        <v>0</v>
      </c>
      <c r="E6" s="35">
        <f>TCO!F20+TCO!F21</f>
        <v>0</v>
      </c>
      <c r="F6" s="34">
        <f>(TCO!F$7*(1+$Q$5))+TCO!F$8</f>
        <v>0</v>
      </c>
      <c r="G6" s="37">
        <f t="shared" si="1"/>
        <v>0</v>
      </c>
      <c r="H6" s="34">
        <f>TCO!F22+TCO!F23</f>
        <v>528000</v>
      </c>
      <c r="I6" s="34">
        <f>(TCO!F$9*(1+$Q$5))+TCO!F$10</f>
        <v>881067.80915999995</v>
      </c>
      <c r="J6" s="37">
        <f t="shared" si="2"/>
        <v>353067.80915999995</v>
      </c>
      <c r="K6" s="35">
        <f>'Parametre - Agendové IS'!D108</f>
        <v>433274.02913346863</v>
      </c>
      <c r="L6" s="35">
        <f>'Parametre - Agendové IS'!E108</f>
        <v>363681.56913346867</v>
      </c>
      <c r="M6" s="37">
        <f>IF(ISERR(L6-K6),"-",L6-K6)</f>
        <v>-69592.459999999963</v>
      </c>
      <c r="N6" s="34">
        <f t="shared" si="3"/>
        <v>961274.02913346863</v>
      </c>
      <c r="O6" s="34">
        <f t="shared" si="4"/>
        <v>1244749.3782934686</v>
      </c>
      <c r="P6" s="37">
        <f t="shared" si="5"/>
        <v>283475.34915999998</v>
      </c>
    </row>
    <row r="7" spans="1:17" x14ac:dyDescent="0.25">
      <c r="A7" s="33" t="s">
        <v>29</v>
      </c>
      <c r="B7" s="34">
        <f>TCO!G24+TCO!G25</f>
        <v>0</v>
      </c>
      <c r="C7" s="34">
        <f>(TCO!G$11*(1+$Q$5))+TCO!G$12</f>
        <v>0</v>
      </c>
      <c r="D7" s="37">
        <f t="shared" si="0"/>
        <v>0</v>
      </c>
      <c r="E7" s="35">
        <f>TCO!G20+TCO!G21</f>
        <v>0</v>
      </c>
      <c r="F7" s="34">
        <f>(TCO!G$7*(1+$Q$5))+TCO!G$8</f>
        <v>0</v>
      </c>
      <c r="G7" s="37">
        <f t="shared" si="1"/>
        <v>0</v>
      </c>
      <c r="H7" s="34">
        <f>TCO!G22+TCO!G23</f>
        <v>528000</v>
      </c>
      <c r="I7" s="34">
        <f>(TCO!G$9*(1+$Q$5))+TCO!G$10</f>
        <v>881067.80915999995</v>
      </c>
      <c r="J7" s="37">
        <f t="shared" si="2"/>
        <v>353067.80915999995</v>
      </c>
      <c r="K7" s="35">
        <f>'Parametre - Agendové IS'!D109</f>
        <v>433274.02913346863</v>
      </c>
      <c r="L7" s="35">
        <f>'Parametre - Agendové IS'!E109</f>
        <v>363681.56913346867</v>
      </c>
      <c r="M7" s="37">
        <f>IF(ISERR(L7-K7),"-",L7-K7)</f>
        <v>-69592.459999999963</v>
      </c>
      <c r="N7" s="34">
        <f t="shared" si="3"/>
        <v>961274.02913346863</v>
      </c>
      <c r="O7" s="34">
        <f t="shared" si="4"/>
        <v>1244749.3782934686</v>
      </c>
      <c r="P7" s="37">
        <f t="shared" si="5"/>
        <v>283475.34915999998</v>
      </c>
    </row>
    <row r="8" spans="1:17" x14ac:dyDescent="0.25">
      <c r="A8" s="33" t="s">
        <v>30</v>
      </c>
      <c r="B8" s="34">
        <f>TCO!H24+TCO!H25</f>
        <v>0</v>
      </c>
      <c r="C8" s="34">
        <f>(TCO!H$11*(1+$Q$5))+TCO!H$12</f>
        <v>0</v>
      </c>
      <c r="D8" s="37">
        <f t="shared" si="0"/>
        <v>0</v>
      </c>
      <c r="E8" s="35">
        <f>TCO!H20+TCO!H21</f>
        <v>0</v>
      </c>
      <c r="F8" s="34">
        <f>(TCO!H$7*(1+$Q$5))+TCO!H$8</f>
        <v>0</v>
      </c>
      <c r="G8" s="37">
        <f t="shared" si="1"/>
        <v>0</v>
      </c>
      <c r="H8" s="34">
        <f>TCO!H22+TCO!H23</f>
        <v>528000</v>
      </c>
      <c r="I8" s="34">
        <f>(TCO!H$9*(1+$Q$5))+TCO!H$10</f>
        <v>881067.80915999995</v>
      </c>
      <c r="J8" s="37">
        <f t="shared" si="2"/>
        <v>353067.80915999995</v>
      </c>
      <c r="K8" s="35">
        <f>'Parametre - Agendové IS'!D110</f>
        <v>433274.02913346863</v>
      </c>
      <c r="L8" s="35">
        <f>'Parametre - Agendové IS'!E110</f>
        <v>363681.56913346867</v>
      </c>
      <c r="M8" s="37">
        <f>IF(ISERR(L8-K8),"-",L8-K8)</f>
        <v>-69592.459999999963</v>
      </c>
      <c r="N8" s="34">
        <f t="shared" si="3"/>
        <v>961274.02913346863</v>
      </c>
      <c r="O8" s="34">
        <f t="shared" si="4"/>
        <v>1244749.3782934686</v>
      </c>
      <c r="P8" s="37">
        <f t="shared" si="5"/>
        <v>283475.34915999998</v>
      </c>
    </row>
    <row r="9" spans="1:17" x14ac:dyDescent="0.25">
      <c r="A9" s="33" t="s">
        <v>31</v>
      </c>
      <c r="B9" s="34">
        <f>TCO!I24+TCO!I25</f>
        <v>0</v>
      </c>
      <c r="C9" s="34">
        <f>(TCO!I$11*(1+$Q$5))+TCO!I$12</f>
        <v>0</v>
      </c>
      <c r="D9" s="37">
        <f t="shared" si="0"/>
        <v>0</v>
      </c>
      <c r="E9" s="35">
        <f>TCO!I20+TCO!I21</f>
        <v>0</v>
      </c>
      <c r="F9" s="34">
        <f>(TCO!I$7*(1+$Q$5))+TCO!I$8</f>
        <v>0</v>
      </c>
      <c r="G9" s="37">
        <f t="shared" si="1"/>
        <v>0</v>
      </c>
      <c r="H9" s="34">
        <f>TCO!I22+TCO!I23</f>
        <v>528000</v>
      </c>
      <c r="I9" s="34">
        <f>(TCO!I$9*(1+$Q$5))+TCO!I$10</f>
        <v>881067.80915999995</v>
      </c>
      <c r="J9" s="37">
        <f t="shared" si="2"/>
        <v>353067.80915999995</v>
      </c>
      <c r="K9" s="35">
        <f>'Parametre - Agendové IS'!D111</f>
        <v>433274.02913346863</v>
      </c>
      <c r="L9" s="35">
        <f>'Parametre - Agendové IS'!E111</f>
        <v>363681.56913346867</v>
      </c>
      <c r="M9" s="37">
        <f t="shared" ref="M9:M13" si="6">IF(ISERR(L9-K9),"-",L9-K9)</f>
        <v>-69592.459999999963</v>
      </c>
      <c r="N9" s="34">
        <f t="shared" si="3"/>
        <v>961274.02913346863</v>
      </c>
      <c r="O9" s="34">
        <f t="shared" si="4"/>
        <v>1244749.3782934686</v>
      </c>
      <c r="P9" s="37">
        <f t="shared" si="5"/>
        <v>283475.34915999998</v>
      </c>
    </row>
    <row r="10" spans="1:17" x14ac:dyDescent="0.25">
      <c r="A10" s="33" t="s">
        <v>32</v>
      </c>
      <c r="B10" s="34">
        <f>TCO!J24+TCO!J25</f>
        <v>0</v>
      </c>
      <c r="C10" s="34">
        <f>(TCO!J$11*(1+$Q$5))+TCO!J$12</f>
        <v>0</v>
      </c>
      <c r="D10" s="37">
        <f t="shared" si="0"/>
        <v>0</v>
      </c>
      <c r="E10" s="35">
        <f>TCO!J20+TCO!J21</f>
        <v>0</v>
      </c>
      <c r="F10" s="34">
        <f>(TCO!J$7*(1+$Q$5))+TCO!J$8</f>
        <v>0</v>
      </c>
      <c r="G10" s="37">
        <f t="shared" si="1"/>
        <v>0</v>
      </c>
      <c r="H10" s="34">
        <f>TCO!J22+TCO!J23</f>
        <v>528000</v>
      </c>
      <c r="I10" s="34">
        <f>(TCO!J$9*(1+$Q$5))+TCO!J$10</f>
        <v>881067.80915999995</v>
      </c>
      <c r="J10" s="37">
        <f t="shared" si="2"/>
        <v>353067.80915999995</v>
      </c>
      <c r="K10" s="35">
        <f>'Parametre - Agendové IS'!D112</f>
        <v>433274.02913346863</v>
      </c>
      <c r="L10" s="35">
        <f>'Parametre - Agendové IS'!E112</f>
        <v>363681.56913346867</v>
      </c>
      <c r="M10" s="37">
        <f t="shared" si="6"/>
        <v>-69592.459999999963</v>
      </c>
      <c r="N10" s="34">
        <f t="shared" si="3"/>
        <v>961274.02913346863</v>
      </c>
      <c r="O10" s="34">
        <f t="shared" si="4"/>
        <v>1244749.3782934686</v>
      </c>
      <c r="P10" s="37">
        <f t="shared" si="5"/>
        <v>283475.34915999998</v>
      </c>
    </row>
    <row r="11" spans="1:17" x14ac:dyDescent="0.25">
      <c r="A11" s="33" t="s">
        <v>33</v>
      </c>
      <c r="B11" s="34">
        <f>TCO!K24+TCO!K25</f>
        <v>0</v>
      </c>
      <c r="C11" s="34">
        <f>(TCO!K$11*(1+$Q$5))+TCO!K$12</f>
        <v>0</v>
      </c>
      <c r="D11" s="37">
        <f t="shared" si="0"/>
        <v>0</v>
      </c>
      <c r="E11" s="35">
        <f>TCO!K20+TCO!K21</f>
        <v>0</v>
      </c>
      <c r="F11" s="34">
        <f>(TCO!K$7*(1+$Q$5))+TCO!K$8</f>
        <v>0</v>
      </c>
      <c r="G11" s="37">
        <f t="shared" si="1"/>
        <v>0</v>
      </c>
      <c r="H11" s="34">
        <f>TCO!K22+TCO!K23</f>
        <v>528000</v>
      </c>
      <c r="I11" s="34">
        <f>(TCO!K$9*(1+$Q$5))+TCO!K$10</f>
        <v>881067.80915999995</v>
      </c>
      <c r="J11" s="37">
        <f t="shared" si="2"/>
        <v>353067.80915999995</v>
      </c>
      <c r="K11" s="35">
        <f>'Parametre - Agendové IS'!D113</f>
        <v>433274.02913346863</v>
      </c>
      <c r="L11" s="35">
        <f>'Parametre - Agendové IS'!E113</f>
        <v>363681.56913346867</v>
      </c>
      <c r="M11" s="37">
        <f t="shared" si="6"/>
        <v>-69592.459999999963</v>
      </c>
      <c r="N11" s="34">
        <f t="shared" si="3"/>
        <v>961274.02913346863</v>
      </c>
      <c r="O11" s="34">
        <f t="shared" si="4"/>
        <v>1244749.3782934686</v>
      </c>
      <c r="P11" s="37">
        <f t="shared" si="5"/>
        <v>283475.34915999998</v>
      </c>
    </row>
    <row r="12" spans="1:17" x14ac:dyDescent="0.25">
      <c r="A12" s="33" t="s">
        <v>34</v>
      </c>
      <c r="B12" s="34">
        <f>TCO!L24+TCO!L25</f>
        <v>0</v>
      </c>
      <c r="C12" s="34">
        <f>(TCO!L$11*(1+$Q$5))+TCO!L$12</f>
        <v>0</v>
      </c>
      <c r="D12" s="37">
        <f t="shared" si="0"/>
        <v>0</v>
      </c>
      <c r="E12" s="35">
        <f>TCO!L20+TCO!L21</f>
        <v>0</v>
      </c>
      <c r="F12" s="34">
        <f>(TCO!L$7*(1+$Q$5))+TCO!L$8</f>
        <v>0</v>
      </c>
      <c r="G12" s="37">
        <f t="shared" si="1"/>
        <v>0</v>
      </c>
      <c r="H12" s="34">
        <f>TCO!L22+TCO!L23</f>
        <v>528000</v>
      </c>
      <c r="I12" s="34">
        <f>(TCO!L$9*(1+$Q$5))+TCO!L$10</f>
        <v>881067.80915999995</v>
      </c>
      <c r="J12" s="37">
        <f t="shared" si="2"/>
        <v>353067.80915999995</v>
      </c>
      <c r="K12" s="35">
        <f>'Parametre - Agendové IS'!D114</f>
        <v>433274.02913346863</v>
      </c>
      <c r="L12" s="35">
        <f>'Parametre - Agendové IS'!E114</f>
        <v>363681.56913346867</v>
      </c>
      <c r="M12" s="37">
        <f t="shared" si="6"/>
        <v>-69592.459999999963</v>
      </c>
      <c r="N12" s="34">
        <f t="shared" si="3"/>
        <v>961274.02913346863</v>
      </c>
      <c r="O12" s="34">
        <f t="shared" si="4"/>
        <v>1244749.3782934686</v>
      </c>
      <c r="P12" s="37">
        <f t="shared" si="5"/>
        <v>283475.34915999998</v>
      </c>
    </row>
    <row r="13" spans="1:17" ht="15.75" thickBot="1" x14ac:dyDescent="0.3">
      <c r="A13" s="51" t="s">
        <v>35</v>
      </c>
      <c r="B13" s="55">
        <f>TCO!M24+TCO!M25</f>
        <v>0</v>
      </c>
      <c r="C13" s="55">
        <f>(TCO!M$11*(1+$Q$5))+TCO!M$12</f>
        <v>0</v>
      </c>
      <c r="D13" s="176">
        <f t="shared" si="0"/>
        <v>0</v>
      </c>
      <c r="E13" s="59">
        <f>TCO!M20+TCO!M21</f>
        <v>0</v>
      </c>
      <c r="F13" s="55">
        <f>(TCO!M$7*(1+$Q$5))+TCO!M$8</f>
        <v>0</v>
      </c>
      <c r="G13" s="176">
        <f t="shared" si="1"/>
        <v>0</v>
      </c>
      <c r="H13" s="55">
        <f>TCO!M22+TCO!M23</f>
        <v>528000</v>
      </c>
      <c r="I13" s="55">
        <f>(TCO!M$9*(1+$Q$5))+TCO!M$10</f>
        <v>881067.80915999995</v>
      </c>
      <c r="J13" s="176">
        <f t="shared" si="2"/>
        <v>353067.80915999995</v>
      </c>
      <c r="K13" s="59">
        <f>'Parametre - Agendové IS'!D115</f>
        <v>433274.02913346863</v>
      </c>
      <c r="L13" s="59">
        <f>'Parametre - Agendové IS'!E115</f>
        <v>363681.56913346867</v>
      </c>
      <c r="M13" s="176">
        <f t="shared" si="6"/>
        <v>-69592.459999999963</v>
      </c>
      <c r="N13" s="55">
        <f t="shared" si="3"/>
        <v>961274.02913346863</v>
      </c>
      <c r="O13" s="55">
        <f t="shared" si="4"/>
        <v>1244749.3782934686</v>
      </c>
      <c r="P13" s="176">
        <f t="shared" si="5"/>
        <v>283475.34915999998</v>
      </c>
    </row>
    <row r="14" spans="1:17" x14ac:dyDescent="0.25">
      <c r="A14" s="197" t="s">
        <v>104</v>
      </c>
      <c r="B14" s="188">
        <f>SUM(B4:B13)</f>
        <v>0</v>
      </c>
      <c r="C14" s="186">
        <f t="shared" ref="C14:M14" si="7">SUM(C4:C13)</f>
        <v>0</v>
      </c>
      <c r="D14" s="185">
        <f t="shared" si="7"/>
        <v>0</v>
      </c>
      <c r="E14" s="188">
        <f t="shared" si="7"/>
        <v>0</v>
      </c>
      <c r="F14" s="186">
        <f t="shared" si="7"/>
        <v>0</v>
      </c>
      <c r="G14" s="185">
        <f t="shared" si="7"/>
        <v>0</v>
      </c>
      <c r="H14" s="188">
        <f t="shared" si="7"/>
        <v>5280000</v>
      </c>
      <c r="I14" s="186">
        <f t="shared" si="7"/>
        <v>13454054.733279997</v>
      </c>
      <c r="J14" s="185">
        <f t="shared" si="7"/>
        <v>8174054.7332799975</v>
      </c>
      <c r="K14" s="188">
        <f t="shared" si="7"/>
        <v>4332740.2913346877</v>
      </c>
      <c r="L14" s="186">
        <f t="shared" si="7"/>
        <v>3776000.6113346871</v>
      </c>
      <c r="M14" s="185">
        <f t="shared" si="7"/>
        <v>-556739.6799999997</v>
      </c>
      <c r="N14" s="201">
        <f>SUM(N4:N13)</f>
        <v>9612740.2913346868</v>
      </c>
      <c r="O14" s="202">
        <f>SUM(O4:O13)</f>
        <v>17230055.344614692</v>
      </c>
      <c r="P14" s="203">
        <f>SUM(P4:P13)</f>
        <v>7617315.0532799978</v>
      </c>
    </row>
    <row r="15" spans="1:17" ht="15.75" thickBot="1" x14ac:dyDescent="0.3">
      <c r="A15" s="197" t="s">
        <v>124</v>
      </c>
      <c r="B15" s="196"/>
      <c r="C15" s="194"/>
      <c r="D15" s="192">
        <f>D4+NPV(Faktory!$D$5,D5:D13)</f>
        <v>0</v>
      </c>
      <c r="E15" s="196"/>
      <c r="F15" s="194"/>
      <c r="G15" s="192">
        <f>G4+NPV(Faktory!$D$5,G5:G13)</f>
        <v>0</v>
      </c>
      <c r="H15" s="196">
        <f>H4+NPV(Faktory!$D$5,H5:H13)</f>
        <v>4280929.8447400602</v>
      </c>
      <c r="I15" s="194">
        <f>I4+NPV(Faktory!$D$5,I5:I13)</f>
        <v>11741945.992935855</v>
      </c>
      <c r="J15" s="192">
        <f>J4+NPV(Faktory!$D$5,J5:J13)</f>
        <v>7461016.1481957957</v>
      </c>
      <c r="K15" s="196"/>
      <c r="L15" s="194"/>
      <c r="M15" s="192">
        <f>M4+NPV(Faktory!$D$5,M5:M13)</f>
        <v>-428372.26231605804</v>
      </c>
      <c r="N15" s="198"/>
      <c r="O15" s="199"/>
      <c r="P15" s="200">
        <f>P4+NPV(Faktory!$D$5,P5:P13)</f>
        <v>7032643.8858797364</v>
      </c>
    </row>
    <row r="16" spans="1:17" x14ac:dyDescent="0.25">
      <c r="A16" s="150"/>
      <c r="B16" s="150"/>
      <c r="C16" s="150"/>
      <c r="D16" s="153"/>
      <c r="E16" s="150"/>
      <c r="F16" s="150"/>
      <c r="G16" s="153"/>
      <c r="H16" s="150"/>
      <c r="I16" s="150"/>
      <c r="J16" s="153"/>
      <c r="K16" s="150"/>
      <c r="L16" s="150"/>
      <c r="M16" s="153"/>
      <c r="N16" s="177"/>
      <c r="O16" s="177"/>
      <c r="P16" s="177"/>
    </row>
    <row r="17" spans="1:2" x14ac:dyDescent="0.25">
      <c r="A17" s="117"/>
      <c r="B17" s="118" t="s">
        <v>129</v>
      </c>
    </row>
    <row r="22" spans="1:2" x14ac:dyDescent="0.25">
      <c r="B22" s="178"/>
    </row>
  </sheetData>
  <mergeCells count="7">
    <mergeCell ref="B1:J1"/>
    <mergeCell ref="K1:M1"/>
    <mergeCell ref="N1:P1"/>
    <mergeCell ref="B2:D2"/>
    <mergeCell ref="E2:G2"/>
    <mergeCell ref="H2:J2"/>
    <mergeCell ref="K2:M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135"/>
  <sheetViews>
    <sheetView zoomScale="80" zoomScaleNormal="80" workbookViewId="0">
      <selection activeCell="G21" sqref="G21"/>
    </sheetView>
  </sheetViews>
  <sheetFormatPr defaultColWidth="9.140625" defaultRowHeight="15" x14ac:dyDescent="0.25"/>
  <cols>
    <col min="1" max="1" width="19.140625" style="21" customWidth="1"/>
    <col min="2" max="2" width="9.85546875" style="21" bestFit="1" customWidth="1"/>
    <col min="3" max="3" width="8.85546875" style="21" bestFit="1" customWidth="1"/>
    <col min="4" max="4" width="15.85546875" style="21" customWidth="1"/>
    <col min="5" max="5" width="15.7109375" style="21" bestFit="1" customWidth="1"/>
    <col min="6" max="6" width="14.42578125" style="21" customWidth="1"/>
    <col min="7" max="7" width="14.42578125" style="11" bestFit="1" customWidth="1"/>
    <col min="8" max="8" width="14.7109375" style="24" customWidth="1"/>
    <col min="9" max="9" width="13.85546875" style="150" customWidth="1"/>
    <col min="10" max="10" width="14.42578125" style="574" hidden="1" customWidth="1"/>
    <col min="11" max="11" width="14.7109375" style="24" hidden="1" customWidth="1"/>
    <col min="12" max="12" width="13.85546875" style="574" hidden="1" customWidth="1"/>
    <col min="13" max="13" width="12.85546875" style="21" hidden="1" customWidth="1"/>
    <col min="14" max="14" width="14.42578125" style="21" hidden="1" customWidth="1"/>
    <col min="15" max="15" width="12.85546875" style="21" hidden="1" customWidth="1"/>
    <col min="16" max="16" width="10.28515625" style="10" hidden="1" customWidth="1"/>
    <col min="17" max="17" width="13.28515625" style="24" hidden="1" customWidth="1"/>
    <col min="18" max="18" width="15.42578125" style="150" hidden="1" customWidth="1"/>
    <col min="19" max="237" width="9.140625" style="21"/>
    <col min="238" max="238" width="1.7109375" style="21" customWidth="1"/>
    <col min="239" max="239" width="19.140625" style="21" customWidth="1"/>
    <col min="240" max="240" width="35.140625" style="21" customWidth="1"/>
    <col min="241" max="241" width="9.85546875" style="21" bestFit="1" customWidth="1"/>
    <col min="242" max="242" width="8.85546875" style="21" bestFit="1" customWidth="1"/>
    <col min="243" max="253" width="10.28515625" style="21" customWidth="1"/>
    <col min="254" max="493" width="9.140625" style="21"/>
    <col min="494" max="494" width="1.7109375" style="21" customWidth="1"/>
    <col min="495" max="495" width="19.140625" style="21" customWidth="1"/>
    <col min="496" max="496" width="35.140625" style="21" customWidth="1"/>
    <col min="497" max="497" width="9.85546875" style="21" bestFit="1" customWidth="1"/>
    <col min="498" max="498" width="8.85546875" style="21" bestFit="1" customWidth="1"/>
    <col min="499" max="509" width="10.28515625" style="21" customWidth="1"/>
    <col min="510" max="749" width="9.140625" style="21"/>
    <col min="750" max="750" width="1.7109375" style="21" customWidth="1"/>
    <col min="751" max="751" width="19.140625" style="21" customWidth="1"/>
    <col min="752" max="752" width="35.140625" style="21" customWidth="1"/>
    <col min="753" max="753" width="9.85546875" style="21" bestFit="1" customWidth="1"/>
    <col min="754" max="754" width="8.85546875" style="21" bestFit="1" customWidth="1"/>
    <col min="755" max="765" width="10.28515625" style="21" customWidth="1"/>
    <col min="766" max="1005" width="9.140625" style="21"/>
    <col min="1006" max="1006" width="1.7109375" style="21" customWidth="1"/>
    <col min="1007" max="1007" width="19.140625" style="21" customWidth="1"/>
    <col min="1008" max="1008" width="35.140625" style="21" customWidth="1"/>
    <col min="1009" max="1009" width="9.85546875" style="21" bestFit="1" customWidth="1"/>
    <col min="1010" max="1010" width="8.85546875" style="21" bestFit="1" customWidth="1"/>
    <col min="1011" max="1021" width="10.28515625" style="21" customWidth="1"/>
    <col min="1022" max="1261" width="9.140625" style="21"/>
    <col min="1262" max="1262" width="1.7109375" style="21" customWidth="1"/>
    <col min="1263" max="1263" width="19.140625" style="21" customWidth="1"/>
    <col min="1264" max="1264" width="35.140625" style="21" customWidth="1"/>
    <col min="1265" max="1265" width="9.85546875" style="21" bestFit="1" customWidth="1"/>
    <col min="1266" max="1266" width="8.85546875" style="21" bestFit="1" customWidth="1"/>
    <col min="1267" max="1277" width="10.28515625" style="21" customWidth="1"/>
    <col min="1278" max="1517" width="9.140625" style="21"/>
    <col min="1518" max="1518" width="1.7109375" style="21" customWidth="1"/>
    <col min="1519" max="1519" width="19.140625" style="21" customWidth="1"/>
    <col min="1520" max="1520" width="35.140625" style="21" customWidth="1"/>
    <col min="1521" max="1521" width="9.85546875" style="21" bestFit="1" customWidth="1"/>
    <col min="1522" max="1522" width="8.85546875" style="21" bestFit="1" customWidth="1"/>
    <col min="1523" max="1533" width="10.28515625" style="21" customWidth="1"/>
    <col min="1534" max="1773" width="9.140625" style="21"/>
    <col min="1774" max="1774" width="1.7109375" style="21" customWidth="1"/>
    <col min="1775" max="1775" width="19.140625" style="21" customWidth="1"/>
    <col min="1776" max="1776" width="35.140625" style="21" customWidth="1"/>
    <col min="1777" max="1777" width="9.85546875" style="21" bestFit="1" customWidth="1"/>
    <col min="1778" max="1778" width="8.85546875" style="21" bestFit="1" customWidth="1"/>
    <col min="1779" max="1789" width="10.28515625" style="21" customWidth="1"/>
    <col min="1790" max="2029" width="9.140625" style="21"/>
    <col min="2030" max="2030" width="1.7109375" style="21" customWidth="1"/>
    <col min="2031" max="2031" width="19.140625" style="21" customWidth="1"/>
    <col min="2032" max="2032" width="35.140625" style="21" customWidth="1"/>
    <col min="2033" max="2033" width="9.85546875" style="21" bestFit="1" customWidth="1"/>
    <col min="2034" max="2034" width="8.85546875" style="21" bestFit="1" customWidth="1"/>
    <col min="2035" max="2045" width="10.28515625" style="21" customWidth="1"/>
    <col min="2046" max="2285" width="9.140625" style="21"/>
    <col min="2286" max="2286" width="1.7109375" style="21" customWidth="1"/>
    <col min="2287" max="2287" width="19.140625" style="21" customWidth="1"/>
    <col min="2288" max="2288" width="35.140625" style="21" customWidth="1"/>
    <col min="2289" max="2289" width="9.85546875" style="21" bestFit="1" customWidth="1"/>
    <col min="2290" max="2290" width="8.85546875" style="21" bestFit="1" customWidth="1"/>
    <col min="2291" max="2301" width="10.28515625" style="21" customWidth="1"/>
    <col min="2302" max="2541" width="9.140625" style="21"/>
    <col min="2542" max="2542" width="1.7109375" style="21" customWidth="1"/>
    <col min="2543" max="2543" width="19.140625" style="21" customWidth="1"/>
    <col min="2544" max="2544" width="35.140625" style="21" customWidth="1"/>
    <col min="2545" max="2545" width="9.85546875" style="21" bestFit="1" customWidth="1"/>
    <col min="2546" max="2546" width="8.85546875" style="21" bestFit="1" customWidth="1"/>
    <col min="2547" max="2557" width="10.28515625" style="21" customWidth="1"/>
    <col min="2558" max="2797" width="9.140625" style="21"/>
    <col min="2798" max="2798" width="1.7109375" style="21" customWidth="1"/>
    <col min="2799" max="2799" width="19.140625" style="21" customWidth="1"/>
    <col min="2800" max="2800" width="35.140625" style="21" customWidth="1"/>
    <col min="2801" max="2801" width="9.85546875" style="21" bestFit="1" customWidth="1"/>
    <col min="2802" max="2802" width="8.85546875" style="21" bestFit="1" customWidth="1"/>
    <col min="2803" max="2813" width="10.28515625" style="21" customWidth="1"/>
    <col min="2814" max="3053" width="9.140625" style="21"/>
    <col min="3054" max="3054" width="1.7109375" style="21" customWidth="1"/>
    <col min="3055" max="3055" width="19.140625" style="21" customWidth="1"/>
    <col min="3056" max="3056" width="35.140625" style="21" customWidth="1"/>
    <col min="3057" max="3057" width="9.85546875" style="21" bestFit="1" customWidth="1"/>
    <col min="3058" max="3058" width="8.85546875" style="21" bestFit="1" customWidth="1"/>
    <col min="3059" max="3069" width="10.28515625" style="21" customWidth="1"/>
    <col min="3070" max="3309" width="9.140625" style="21"/>
    <col min="3310" max="3310" width="1.7109375" style="21" customWidth="1"/>
    <col min="3311" max="3311" width="19.140625" style="21" customWidth="1"/>
    <col min="3312" max="3312" width="35.140625" style="21" customWidth="1"/>
    <col min="3313" max="3313" width="9.85546875" style="21" bestFit="1" customWidth="1"/>
    <col min="3314" max="3314" width="8.85546875" style="21" bestFit="1" customWidth="1"/>
    <col min="3315" max="3325" width="10.28515625" style="21" customWidth="1"/>
    <col min="3326" max="3565" width="9.140625" style="21"/>
    <col min="3566" max="3566" width="1.7109375" style="21" customWidth="1"/>
    <col min="3567" max="3567" width="19.140625" style="21" customWidth="1"/>
    <col min="3568" max="3568" width="35.140625" style="21" customWidth="1"/>
    <col min="3569" max="3569" width="9.85546875" style="21" bestFit="1" customWidth="1"/>
    <col min="3570" max="3570" width="8.85546875" style="21" bestFit="1" customWidth="1"/>
    <col min="3571" max="3581" width="10.28515625" style="21" customWidth="1"/>
    <col min="3582" max="3821" width="9.140625" style="21"/>
    <col min="3822" max="3822" width="1.7109375" style="21" customWidth="1"/>
    <col min="3823" max="3823" width="19.140625" style="21" customWidth="1"/>
    <col min="3824" max="3824" width="35.140625" style="21" customWidth="1"/>
    <col min="3825" max="3825" width="9.85546875" style="21" bestFit="1" customWidth="1"/>
    <col min="3826" max="3826" width="8.85546875" style="21" bestFit="1" customWidth="1"/>
    <col min="3827" max="3837" width="10.28515625" style="21" customWidth="1"/>
    <col min="3838" max="4077" width="9.140625" style="21"/>
    <col min="4078" max="4078" width="1.7109375" style="21" customWidth="1"/>
    <col min="4079" max="4079" width="19.140625" style="21" customWidth="1"/>
    <col min="4080" max="4080" width="35.140625" style="21" customWidth="1"/>
    <col min="4081" max="4081" width="9.85546875" style="21" bestFit="1" customWidth="1"/>
    <col min="4082" max="4082" width="8.85546875" style="21" bestFit="1" customWidth="1"/>
    <col min="4083" max="4093" width="10.28515625" style="21" customWidth="1"/>
    <col min="4094" max="4333" width="9.140625" style="21"/>
    <col min="4334" max="4334" width="1.7109375" style="21" customWidth="1"/>
    <col min="4335" max="4335" width="19.140625" style="21" customWidth="1"/>
    <col min="4336" max="4336" width="35.140625" style="21" customWidth="1"/>
    <col min="4337" max="4337" width="9.85546875" style="21" bestFit="1" customWidth="1"/>
    <col min="4338" max="4338" width="8.85546875" style="21" bestFit="1" customWidth="1"/>
    <col min="4339" max="4349" width="10.28515625" style="21" customWidth="1"/>
    <col min="4350" max="4589" width="9.140625" style="21"/>
    <col min="4590" max="4590" width="1.7109375" style="21" customWidth="1"/>
    <col min="4591" max="4591" width="19.140625" style="21" customWidth="1"/>
    <col min="4592" max="4592" width="35.140625" style="21" customWidth="1"/>
    <col min="4593" max="4593" width="9.85546875" style="21" bestFit="1" customWidth="1"/>
    <col min="4594" max="4594" width="8.85546875" style="21" bestFit="1" customWidth="1"/>
    <col min="4595" max="4605" width="10.28515625" style="21" customWidth="1"/>
    <col min="4606" max="4845" width="9.140625" style="21"/>
    <col min="4846" max="4846" width="1.7109375" style="21" customWidth="1"/>
    <col min="4847" max="4847" width="19.140625" style="21" customWidth="1"/>
    <col min="4848" max="4848" width="35.140625" style="21" customWidth="1"/>
    <col min="4849" max="4849" width="9.85546875" style="21" bestFit="1" customWidth="1"/>
    <col min="4850" max="4850" width="8.85546875" style="21" bestFit="1" customWidth="1"/>
    <col min="4851" max="4861" width="10.28515625" style="21" customWidth="1"/>
    <col min="4862" max="5101" width="9.140625" style="21"/>
    <col min="5102" max="5102" width="1.7109375" style="21" customWidth="1"/>
    <col min="5103" max="5103" width="19.140625" style="21" customWidth="1"/>
    <col min="5104" max="5104" width="35.140625" style="21" customWidth="1"/>
    <col min="5105" max="5105" width="9.85546875" style="21" bestFit="1" customWidth="1"/>
    <col min="5106" max="5106" width="8.85546875" style="21" bestFit="1" customWidth="1"/>
    <col min="5107" max="5117" width="10.28515625" style="21" customWidth="1"/>
    <col min="5118" max="5357" width="9.140625" style="21"/>
    <col min="5358" max="5358" width="1.7109375" style="21" customWidth="1"/>
    <col min="5359" max="5359" width="19.140625" style="21" customWidth="1"/>
    <col min="5360" max="5360" width="35.140625" style="21" customWidth="1"/>
    <col min="5361" max="5361" width="9.85546875" style="21" bestFit="1" customWidth="1"/>
    <col min="5362" max="5362" width="8.85546875" style="21" bestFit="1" customWidth="1"/>
    <col min="5363" max="5373" width="10.28515625" style="21" customWidth="1"/>
    <col min="5374" max="5613" width="9.140625" style="21"/>
    <col min="5614" max="5614" width="1.7109375" style="21" customWidth="1"/>
    <col min="5615" max="5615" width="19.140625" style="21" customWidth="1"/>
    <col min="5616" max="5616" width="35.140625" style="21" customWidth="1"/>
    <col min="5617" max="5617" width="9.85546875" style="21" bestFit="1" customWidth="1"/>
    <col min="5618" max="5618" width="8.85546875" style="21" bestFit="1" customWidth="1"/>
    <col min="5619" max="5629" width="10.28515625" style="21" customWidth="1"/>
    <col min="5630" max="5869" width="9.140625" style="21"/>
    <col min="5870" max="5870" width="1.7109375" style="21" customWidth="1"/>
    <col min="5871" max="5871" width="19.140625" style="21" customWidth="1"/>
    <col min="5872" max="5872" width="35.140625" style="21" customWidth="1"/>
    <col min="5873" max="5873" width="9.85546875" style="21" bestFit="1" customWidth="1"/>
    <col min="5874" max="5874" width="8.85546875" style="21" bestFit="1" customWidth="1"/>
    <col min="5875" max="5885" width="10.28515625" style="21" customWidth="1"/>
    <col min="5886" max="6125" width="9.140625" style="21"/>
    <col min="6126" max="6126" width="1.7109375" style="21" customWidth="1"/>
    <col min="6127" max="6127" width="19.140625" style="21" customWidth="1"/>
    <col min="6128" max="6128" width="35.140625" style="21" customWidth="1"/>
    <col min="6129" max="6129" width="9.85546875" style="21" bestFit="1" customWidth="1"/>
    <col min="6130" max="6130" width="8.85546875" style="21" bestFit="1" customWidth="1"/>
    <col min="6131" max="6141" width="10.28515625" style="21" customWidth="1"/>
    <col min="6142" max="6381" width="9.140625" style="21"/>
    <col min="6382" max="6382" width="1.7109375" style="21" customWidth="1"/>
    <col min="6383" max="6383" width="19.140625" style="21" customWidth="1"/>
    <col min="6384" max="6384" width="35.140625" style="21" customWidth="1"/>
    <col min="6385" max="6385" width="9.85546875" style="21" bestFit="1" customWidth="1"/>
    <col min="6386" max="6386" width="8.85546875" style="21" bestFit="1" customWidth="1"/>
    <col min="6387" max="6397" width="10.28515625" style="21" customWidth="1"/>
    <col min="6398" max="6637" width="9.140625" style="21"/>
    <col min="6638" max="6638" width="1.7109375" style="21" customWidth="1"/>
    <col min="6639" max="6639" width="19.140625" style="21" customWidth="1"/>
    <col min="6640" max="6640" width="35.140625" style="21" customWidth="1"/>
    <col min="6641" max="6641" width="9.85546875" style="21" bestFit="1" customWidth="1"/>
    <col min="6642" max="6642" width="8.85546875" style="21" bestFit="1" customWidth="1"/>
    <col min="6643" max="6653" width="10.28515625" style="21" customWidth="1"/>
    <col min="6654" max="6893" width="9.140625" style="21"/>
    <col min="6894" max="6894" width="1.7109375" style="21" customWidth="1"/>
    <col min="6895" max="6895" width="19.140625" style="21" customWidth="1"/>
    <col min="6896" max="6896" width="35.140625" style="21" customWidth="1"/>
    <col min="6897" max="6897" width="9.85546875" style="21" bestFit="1" customWidth="1"/>
    <col min="6898" max="6898" width="8.85546875" style="21" bestFit="1" customWidth="1"/>
    <col min="6899" max="6909" width="10.28515625" style="21" customWidth="1"/>
    <col min="6910" max="7149" width="9.140625" style="21"/>
    <col min="7150" max="7150" width="1.7109375" style="21" customWidth="1"/>
    <col min="7151" max="7151" width="19.140625" style="21" customWidth="1"/>
    <col min="7152" max="7152" width="35.140625" style="21" customWidth="1"/>
    <col min="7153" max="7153" width="9.85546875" style="21" bestFit="1" customWidth="1"/>
    <col min="7154" max="7154" width="8.85546875" style="21" bestFit="1" customWidth="1"/>
    <col min="7155" max="7165" width="10.28515625" style="21" customWidth="1"/>
    <col min="7166" max="7405" width="9.140625" style="21"/>
    <col min="7406" max="7406" width="1.7109375" style="21" customWidth="1"/>
    <col min="7407" max="7407" width="19.140625" style="21" customWidth="1"/>
    <col min="7408" max="7408" width="35.140625" style="21" customWidth="1"/>
    <col min="7409" max="7409" width="9.85546875" style="21" bestFit="1" customWidth="1"/>
    <col min="7410" max="7410" width="8.85546875" style="21" bestFit="1" customWidth="1"/>
    <col min="7411" max="7421" width="10.28515625" style="21" customWidth="1"/>
    <col min="7422" max="7661" width="9.140625" style="21"/>
    <col min="7662" max="7662" width="1.7109375" style="21" customWidth="1"/>
    <col min="7663" max="7663" width="19.140625" style="21" customWidth="1"/>
    <col min="7664" max="7664" width="35.140625" style="21" customWidth="1"/>
    <col min="7665" max="7665" width="9.85546875" style="21" bestFit="1" customWidth="1"/>
    <col min="7666" max="7666" width="8.85546875" style="21" bestFit="1" customWidth="1"/>
    <col min="7667" max="7677" width="10.28515625" style="21" customWidth="1"/>
    <col min="7678" max="7917" width="9.140625" style="21"/>
    <col min="7918" max="7918" width="1.7109375" style="21" customWidth="1"/>
    <col min="7919" max="7919" width="19.140625" style="21" customWidth="1"/>
    <col min="7920" max="7920" width="35.140625" style="21" customWidth="1"/>
    <col min="7921" max="7921" width="9.85546875" style="21" bestFit="1" customWidth="1"/>
    <col min="7922" max="7922" width="8.85546875" style="21" bestFit="1" customWidth="1"/>
    <col min="7923" max="7933" width="10.28515625" style="21" customWidth="1"/>
    <col min="7934" max="8173" width="9.140625" style="21"/>
    <col min="8174" max="8174" width="1.7109375" style="21" customWidth="1"/>
    <col min="8175" max="8175" width="19.140625" style="21" customWidth="1"/>
    <col min="8176" max="8176" width="35.140625" style="21" customWidth="1"/>
    <col min="8177" max="8177" width="9.85546875" style="21" bestFit="1" customWidth="1"/>
    <col min="8178" max="8178" width="8.85546875" style="21" bestFit="1" customWidth="1"/>
    <col min="8179" max="8189" width="10.28515625" style="21" customWidth="1"/>
    <col min="8190" max="8429" width="9.140625" style="21"/>
    <col min="8430" max="8430" width="1.7109375" style="21" customWidth="1"/>
    <col min="8431" max="8431" width="19.140625" style="21" customWidth="1"/>
    <col min="8432" max="8432" width="35.140625" style="21" customWidth="1"/>
    <col min="8433" max="8433" width="9.85546875" style="21" bestFit="1" customWidth="1"/>
    <col min="8434" max="8434" width="8.85546875" style="21" bestFit="1" customWidth="1"/>
    <col min="8435" max="8445" width="10.28515625" style="21" customWidth="1"/>
    <col min="8446" max="8685" width="9.140625" style="21"/>
    <col min="8686" max="8686" width="1.7109375" style="21" customWidth="1"/>
    <col min="8687" max="8687" width="19.140625" style="21" customWidth="1"/>
    <col min="8688" max="8688" width="35.140625" style="21" customWidth="1"/>
    <col min="8689" max="8689" width="9.85546875" style="21" bestFit="1" customWidth="1"/>
    <col min="8690" max="8690" width="8.85546875" style="21" bestFit="1" customWidth="1"/>
    <col min="8691" max="8701" width="10.28515625" style="21" customWidth="1"/>
    <col min="8702" max="8941" width="9.140625" style="21"/>
    <col min="8942" max="8942" width="1.7109375" style="21" customWidth="1"/>
    <col min="8943" max="8943" width="19.140625" style="21" customWidth="1"/>
    <col min="8944" max="8944" width="35.140625" style="21" customWidth="1"/>
    <col min="8945" max="8945" width="9.85546875" style="21" bestFit="1" customWidth="1"/>
    <col min="8946" max="8946" width="8.85546875" style="21" bestFit="1" customWidth="1"/>
    <col min="8947" max="8957" width="10.28515625" style="21" customWidth="1"/>
    <col min="8958" max="9197" width="9.140625" style="21"/>
    <col min="9198" max="9198" width="1.7109375" style="21" customWidth="1"/>
    <col min="9199" max="9199" width="19.140625" style="21" customWidth="1"/>
    <col min="9200" max="9200" width="35.140625" style="21" customWidth="1"/>
    <col min="9201" max="9201" width="9.85546875" style="21" bestFit="1" customWidth="1"/>
    <col min="9202" max="9202" width="8.85546875" style="21" bestFit="1" customWidth="1"/>
    <col min="9203" max="9213" width="10.28515625" style="21" customWidth="1"/>
    <col min="9214" max="9453" width="9.140625" style="21"/>
    <col min="9454" max="9454" width="1.7109375" style="21" customWidth="1"/>
    <col min="9455" max="9455" width="19.140625" style="21" customWidth="1"/>
    <col min="9456" max="9456" width="35.140625" style="21" customWidth="1"/>
    <col min="9457" max="9457" width="9.85546875" style="21" bestFit="1" customWidth="1"/>
    <col min="9458" max="9458" width="8.85546875" style="21" bestFit="1" customWidth="1"/>
    <col min="9459" max="9469" width="10.28515625" style="21" customWidth="1"/>
    <col min="9470" max="9709" width="9.140625" style="21"/>
    <col min="9710" max="9710" width="1.7109375" style="21" customWidth="1"/>
    <col min="9711" max="9711" width="19.140625" style="21" customWidth="1"/>
    <col min="9712" max="9712" width="35.140625" style="21" customWidth="1"/>
    <col min="9713" max="9713" width="9.85546875" style="21" bestFit="1" customWidth="1"/>
    <col min="9714" max="9714" width="8.85546875" style="21" bestFit="1" customWidth="1"/>
    <col min="9715" max="9725" width="10.28515625" style="21" customWidth="1"/>
    <col min="9726" max="9965" width="9.140625" style="21"/>
    <col min="9966" max="9966" width="1.7109375" style="21" customWidth="1"/>
    <col min="9967" max="9967" width="19.140625" style="21" customWidth="1"/>
    <col min="9968" max="9968" width="35.140625" style="21" customWidth="1"/>
    <col min="9969" max="9969" width="9.85546875" style="21" bestFit="1" customWidth="1"/>
    <col min="9970" max="9970" width="8.85546875" style="21" bestFit="1" customWidth="1"/>
    <col min="9971" max="9981" width="10.28515625" style="21" customWidth="1"/>
    <col min="9982" max="10221" width="9.140625" style="21"/>
    <col min="10222" max="10222" width="1.7109375" style="21" customWidth="1"/>
    <col min="10223" max="10223" width="19.140625" style="21" customWidth="1"/>
    <col min="10224" max="10224" width="35.140625" style="21" customWidth="1"/>
    <col min="10225" max="10225" width="9.85546875" style="21" bestFit="1" customWidth="1"/>
    <col min="10226" max="10226" width="8.85546875" style="21" bestFit="1" customWidth="1"/>
    <col min="10227" max="10237" width="10.28515625" style="21" customWidth="1"/>
    <col min="10238" max="10477" width="9.140625" style="21"/>
    <col min="10478" max="10478" width="1.7109375" style="21" customWidth="1"/>
    <col min="10479" max="10479" width="19.140625" style="21" customWidth="1"/>
    <col min="10480" max="10480" width="35.140625" style="21" customWidth="1"/>
    <col min="10481" max="10481" width="9.85546875" style="21" bestFit="1" customWidth="1"/>
    <col min="10482" max="10482" width="8.85546875" style="21" bestFit="1" customWidth="1"/>
    <col min="10483" max="10493" width="10.28515625" style="21" customWidth="1"/>
    <col min="10494" max="10733" width="9.140625" style="21"/>
    <col min="10734" max="10734" width="1.7109375" style="21" customWidth="1"/>
    <col min="10735" max="10735" width="19.140625" style="21" customWidth="1"/>
    <col min="10736" max="10736" width="35.140625" style="21" customWidth="1"/>
    <col min="10737" max="10737" width="9.85546875" style="21" bestFit="1" customWidth="1"/>
    <col min="10738" max="10738" width="8.85546875" style="21" bestFit="1" customWidth="1"/>
    <col min="10739" max="10749" width="10.28515625" style="21" customWidth="1"/>
    <col min="10750" max="10989" width="9.140625" style="21"/>
    <col min="10990" max="10990" width="1.7109375" style="21" customWidth="1"/>
    <col min="10991" max="10991" width="19.140625" style="21" customWidth="1"/>
    <col min="10992" max="10992" width="35.140625" style="21" customWidth="1"/>
    <col min="10993" max="10993" width="9.85546875" style="21" bestFit="1" customWidth="1"/>
    <col min="10994" max="10994" width="8.85546875" style="21" bestFit="1" customWidth="1"/>
    <col min="10995" max="11005" width="10.28515625" style="21" customWidth="1"/>
    <col min="11006" max="11245" width="9.140625" style="21"/>
    <col min="11246" max="11246" width="1.7109375" style="21" customWidth="1"/>
    <col min="11247" max="11247" width="19.140625" style="21" customWidth="1"/>
    <col min="11248" max="11248" width="35.140625" style="21" customWidth="1"/>
    <col min="11249" max="11249" width="9.85546875" style="21" bestFit="1" customWidth="1"/>
    <col min="11250" max="11250" width="8.85546875" style="21" bestFit="1" customWidth="1"/>
    <col min="11251" max="11261" width="10.28515625" style="21" customWidth="1"/>
    <col min="11262" max="11501" width="9.140625" style="21"/>
    <col min="11502" max="11502" width="1.7109375" style="21" customWidth="1"/>
    <col min="11503" max="11503" width="19.140625" style="21" customWidth="1"/>
    <col min="11504" max="11504" width="35.140625" style="21" customWidth="1"/>
    <col min="11505" max="11505" width="9.85546875" style="21" bestFit="1" customWidth="1"/>
    <col min="11506" max="11506" width="8.85546875" style="21" bestFit="1" customWidth="1"/>
    <col min="11507" max="11517" width="10.28515625" style="21" customWidth="1"/>
    <col min="11518" max="11757" width="9.140625" style="21"/>
    <col min="11758" max="11758" width="1.7109375" style="21" customWidth="1"/>
    <col min="11759" max="11759" width="19.140625" style="21" customWidth="1"/>
    <col min="11760" max="11760" width="35.140625" style="21" customWidth="1"/>
    <col min="11761" max="11761" width="9.85546875" style="21" bestFit="1" customWidth="1"/>
    <col min="11762" max="11762" width="8.85546875" style="21" bestFit="1" customWidth="1"/>
    <col min="11763" max="11773" width="10.28515625" style="21" customWidth="1"/>
    <col min="11774" max="12013" width="9.140625" style="21"/>
    <col min="12014" max="12014" width="1.7109375" style="21" customWidth="1"/>
    <col min="12015" max="12015" width="19.140625" style="21" customWidth="1"/>
    <col min="12016" max="12016" width="35.140625" style="21" customWidth="1"/>
    <col min="12017" max="12017" width="9.85546875" style="21" bestFit="1" customWidth="1"/>
    <col min="12018" max="12018" width="8.85546875" style="21" bestFit="1" customWidth="1"/>
    <col min="12019" max="12029" width="10.28515625" style="21" customWidth="1"/>
    <col min="12030" max="12269" width="9.140625" style="21"/>
    <col min="12270" max="12270" width="1.7109375" style="21" customWidth="1"/>
    <col min="12271" max="12271" width="19.140625" style="21" customWidth="1"/>
    <col min="12272" max="12272" width="35.140625" style="21" customWidth="1"/>
    <col min="12273" max="12273" width="9.85546875" style="21" bestFit="1" customWidth="1"/>
    <col min="12274" max="12274" width="8.85546875" style="21" bestFit="1" customWidth="1"/>
    <col min="12275" max="12285" width="10.28515625" style="21" customWidth="1"/>
    <col min="12286" max="12525" width="9.140625" style="21"/>
    <col min="12526" max="12526" width="1.7109375" style="21" customWidth="1"/>
    <col min="12527" max="12527" width="19.140625" style="21" customWidth="1"/>
    <col min="12528" max="12528" width="35.140625" style="21" customWidth="1"/>
    <col min="12529" max="12529" width="9.85546875" style="21" bestFit="1" customWidth="1"/>
    <col min="12530" max="12530" width="8.85546875" style="21" bestFit="1" customWidth="1"/>
    <col min="12531" max="12541" width="10.28515625" style="21" customWidth="1"/>
    <col min="12542" max="12781" width="9.140625" style="21"/>
    <col min="12782" max="12782" width="1.7109375" style="21" customWidth="1"/>
    <col min="12783" max="12783" width="19.140625" style="21" customWidth="1"/>
    <col min="12784" max="12784" width="35.140625" style="21" customWidth="1"/>
    <col min="12785" max="12785" width="9.85546875" style="21" bestFit="1" customWidth="1"/>
    <col min="12786" max="12786" width="8.85546875" style="21" bestFit="1" customWidth="1"/>
    <col min="12787" max="12797" width="10.28515625" style="21" customWidth="1"/>
    <col min="12798" max="13037" width="9.140625" style="21"/>
    <col min="13038" max="13038" width="1.7109375" style="21" customWidth="1"/>
    <col min="13039" max="13039" width="19.140625" style="21" customWidth="1"/>
    <col min="13040" max="13040" width="35.140625" style="21" customWidth="1"/>
    <col min="13041" max="13041" width="9.85546875" style="21" bestFit="1" customWidth="1"/>
    <col min="13042" max="13042" width="8.85546875" style="21" bestFit="1" customWidth="1"/>
    <col min="13043" max="13053" width="10.28515625" style="21" customWidth="1"/>
    <col min="13054" max="13293" width="9.140625" style="21"/>
    <col min="13294" max="13294" width="1.7109375" style="21" customWidth="1"/>
    <col min="13295" max="13295" width="19.140625" style="21" customWidth="1"/>
    <col min="13296" max="13296" width="35.140625" style="21" customWidth="1"/>
    <col min="13297" max="13297" width="9.85546875" style="21" bestFit="1" customWidth="1"/>
    <col min="13298" max="13298" width="8.85546875" style="21" bestFit="1" customWidth="1"/>
    <col min="13299" max="13309" width="10.28515625" style="21" customWidth="1"/>
    <col min="13310" max="13549" width="9.140625" style="21"/>
    <col min="13550" max="13550" width="1.7109375" style="21" customWidth="1"/>
    <col min="13551" max="13551" width="19.140625" style="21" customWidth="1"/>
    <col min="13552" max="13552" width="35.140625" style="21" customWidth="1"/>
    <col min="13553" max="13553" width="9.85546875" style="21" bestFit="1" customWidth="1"/>
    <col min="13554" max="13554" width="8.85546875" style="21" bestFit="1" customWidth="1"/>
    <col min="13555" max="13565" width="10.28515625" style="21" customWidth="1"/>
    <col min="13566" max="13805" width="9.140625" style="21"/>
    <col min="13806" max="13806" width="1.7109375" style="21" customWidth="1"/>
    <col min="13807" max="13807" width="19.140625" style="21" customWidth="1"/>
    <col min="13808" max="13808" width="35.140625" style="21" customWidth="1"/>
    <col min="13809" max="13809" width="9.85546875" style="21" bestFit="1" customWidth="1"/>
    <col min="13810" max="13810" width="8.85546875" style="21" bestFit="1" customWidth="1"/>
    <col min="13811" max="13821" width="10.28515625" style="21" customWidth="1"/>
    <col min="13822" max="14061" width="9.140625" style="21"/>
    <col min="14062" max="14062" width="1.7109375" style="21" customWidth="1"/>
    <col min="14063" max="14063" width="19.140625" style="21" customWidth="1"/>
    <col min="14064" max="14064" width="35.140625" style="21" customWidth="1"/>
    <col min="14065" max="14065" width="9.85546875" style="21" bestFit="1" customWidth="1"/>
    <col min="14066" max="14066" width="8.85546875" style="21" bestFit="1" customWidth="1"/>
    <col min="14067" max="14077" width="10.28515625" style="21" customWidth="1"/>
    <col min="14078" max="14317" width="9.140625" style="21"/>
    <col min="14318" max="14318" width="1.7109375" style="21" customWidth="1"/>
    <col min="14319" max="14319" width="19.140625" style="21" customWidth="1"/>
    <col min="14320" max="14320" width="35.140625" style="21" customWidth="1"/>
    <col min="14321" max="14321" width="9.85546875" style="21" bestFit="1" customWidth="1"/>
    <col min="14322" max="14322" width="8.85546875" style="21" bestFit="1" customWidth="1"/>
    <col min="14323" max="14333" width="10.28515625" style="21" customWidth="1"/>
    <col min="14334" max="14573" width="9.140625" style="21"/>
    <col min="14574" max="14574" width="1.7109375" style="21" customWidth="1"/>
    <col min="14575" max="14575" width="19.140625" style="21" customWidth="1"/>
    <col min="14576" max="14576" width="35.140625" style="21" customWidth="1"/>
    <col min="14577" max="14577" width="9.85546875" style="21" bestFit="1" customWidth="1"/>
    <col min="14578" max="14578" width="8.85546875" style="21" bestFit="1" customWidth="1"/>
    <col min="14579" max="14589" width="10.28515625" style="21" customWidth="1"/>
    <col min="14590" max="14829" width="9.140625" style="21"/>
    <col min="14830" max="14830" width="1.7109375" style="21" customWidth="1"/>
    <col min="14831" max="14831" width="19.140625" style="21" customWidth="1"/>
    <col min="14832" max="14832" width="35.140625" style="21" customWidth="1"/>
    <col min="14833" max="14833" width="9.85546875" style="21" bestFit="1" customWidth="1"/>
    <col min="14834" max="14834" width="8.85546875" style="21" bestFit="1" customWidth="1"/>
    <col min="14835" max="14845" width="10.28515625" style="21" customWidth="1"/>
    <col min="14846" max="15085" width="9.140625" style="21"/>
    <col min="15086" max="15086" width="1.7109375" style="21" customWidth="1"/>
    <col min="15087" max="15087" width="19.140625" style="21" customWidth="1"/>
    <col min="15088" max="15088" width="35.140625" style="21" customWidth="1"/>
    <col min="15089" max="15089" width="9.85546875" style="21" bestFit="1" customWidth="1"/>
    <col min="15090" max="15090" width="8.85546875" style="21" bestFit="1" customWidth="1"/>
    <col min="15091" max="15101" width="10.28515625" style="21" customWidth="1"/>
    <col min="15102" max="15341" width="9.140625" style="21"/>
    <col min="15342" max="15342" width="1.7109375" style="21" customWidth="1"/>
    <col min="15343" max="15343" width="19.140625" style="21" customWidth="1"/>
    <col min="15344" max="15344" width="35.140625" style="21" customWidth="1"/>
    <col min="15345" max="15345" width="9.85546875" style="21" bestFit="1" customWidth="1"/>
    <col min="15346" max="15346" width="8.85546875" style="21" bestFit="1" customWidth="1"/>
    <col min="15347" max="15357" width="10.28515625" style="21" customWidth="1"/>
    <col min="15358" max="15597" width="9.140625" style="21"/>
    <col min="15598" max="15598" width="1.7109375" style="21" customWidth="1"/>
    <col min="15599" max="15599" width="19.140625" style="21" customWidth="1"/>
    <col min="15600" max="15600" width="35.140625" style="21" customWidth="1"/>
    <col min="15601" max="15601" width="9.85546875" style="21" bestFit="1" customWidth="1"/>
    <col min="15602" max="15602" width="8.85546875" style="21" bestFit="1" customWidth="1"/>
    <col min="15603" max="15613" width="10.28515625" style="21" customWidth="1"/>
    <col min="15614" max="15853" width="9.140625" style="21"/>
    <col min="15854" max="15854" width="1.7109375" style="21" customWidth="1"/>
    <col min="15855" max="15855" width="19.140625" style="21" customWidth="1"/>
    <col min="15856" max="15856" width="35.140625" style="21" customWidth="1"/>
    <col min="15857" max="15857" width="9.85546875" style="21" bestFit="1" customWidth="1"/>
    <col min="15858" max="15858" width="8.85546875" style="21" bestFit="1" customWidth="1"/>
    <col min="15859" max="15869" width="10.28515625" style="21" customWidth="1"/>
    <col min="15870" max="16109" width="9.140625" style="21"/>
    <col min="16110" max="16110" width="1.7109375" style="21" customWidth="1"/>
    <col min="16111" max="16111" width="19.140625" style="21" customWidth="1"/>
    <col min="16112" max="16112" width="35.140625" style="21" customWidth="1"/>
    <col min="16113" max="16113" width="9.85546875" style="21" bestFit="1" customWidth="1"/>
    <col min="16114" max="16114" width="8.85546875" style="21" bestFit="1" customWidth="1"/>
    <col min="16115" max="16125" width="10.28515625" style="21" customWidth="1"/>
    <col min="16126" max="16384" width="9.140625" style="21"/>
  </cols>
  <sheetData>
    <row r="1" spans="1:20" s="240" customFormat="1" ht="33" customHeight="1" x14ac:dyDescent="0.25">
      <c r="A1" s="242"/>
      <c r="B1" s="242"/>
      <c r="C1" s="242"/>
      <c r="D1" s="667" t="s">
        <v>104</v>
      </c>
      <c r="E1" s="668"/>
      <c r="F1" s="669"/>
      <c r="G1" s="658" t="s">
        <v>362</v>
      </c>
      <c r="H1" s="658"/>
      <c r="I1" s="666"/>
      <c r="J1" s="658" t="s">
        <v>638</v>
      </c>
      <c r="K1" s="658"/>
      <c r="L1" s="666"/>
      <c r="M1" s="657" t="s">
        <v>360</v>
      </c>
      <c r="N1" s="658"/>
      <c r="O1" s="666"/>
      <c r="P1" s="657" t="s">
        <v>361</v>
      </c>
      <c r="Q1" s="658"/>
      <c r="R1" s="659"/>
    </row>
    <row r="2" spans="1:20" s="240" customFormat="1" ht="38.25" customHeight="1" x14ac:dyDescent="0.25">
      <c r="A2" s="242" t="s">
        <v>168</v>
      </c>
      <c r="B2" s="242"/>
      <c r="C2" s="242"/>
      <c r="D2" s="349"/>
      <c r="E2" s="314"/>
      <c r="F2" s="315"/>
      <c r="G2" s="650"/>
      <c r="H2" s="651"/>
      <c r="I2" s="652"/>
      <c r="J2" s="650"/>
      <c r="K2" s="651"/>
      <c r="L2" s="652"/>
      <c r="M2" s="650"/>
      <c r="N2" s="651"/>
      <c r="O2" s="652"/>
      <c r="P2" s="650"/>
      <c r="Q2" s="651"/>
      <c r="R2" s="652"/>
    </row>
    <row r="3" spans="1:20" s="240" customFormat="1" ht="36" customHeight="1" x14ac:dyDescent="0.25">
      <c r="A3" s="242" t="s">
        <v>169</v>
      </c>
      <c r="B3" s="242"/>
      <c r="C3" s="242"/>
      <c r="D3" s="349"/>
      <c r="E3" s="314"/>
      <c r="F3" s="315"/>
      <c r="G3" s="650"/>
      <c r="H3" s="651"/>
      <c r="I3" s="652"/>
      <c r="J3" s="650"/>
      <c r="K3" s="651"/>
      <c r="L3" s="652"/>
      <c r="M3" s="650"/>
      <c r="N3" s="651"/>
      <c r="O3" s="652"/>
      <c r="P3" s="650"/>
      <c r="Q3" s="651"/>
      <c r="R3" s="652"/>
    </row>
    <row r="4" spans="1:20" s="241" customFormat="1" ht="15.75" customHeight="1" thickBot="1" x14ac:dyDescent="0.3">
      <c r="A4" s="243" t="s">
        <v>42</v>
      </c>
      <c r="B4" s="243" t="s">
        <v>9</v>
      </c>
      <c r="C4" s="244" t="s">
        <v>22</v>
      </c>
      <c r="D4" s="455" t="s">
        <v>23</v>
      </c>
      <c r="E4" s="244" t="s">
        <v>24</v>
      </c>
      <c r="F4" s="456" t="s">
        <v>123</v>
      </c>
      <c r="G4" s="246" t="s">
        <v>23</v>
      </c>
      <c r="H4" s="246" t="s">
        <v>24</v>
      </c>
      <c r="I4" s="247" t="s">
        <v>123</v>
      </c>
      <c r="J4" s="246" t="s">
        <v>23</v>
      </c>
      <c r="K4" s="246" t="s">
        <v>24</v>
      </c>
      <c r="L4" s="247" t="s">
        <v>123</v>
      </c>
      <c r="M4" s="245" t="s">
        <v>23</v>
      </c>
      <c r="N4" s="246" t="s">
        <v>24</v>
      </c>
      <c r="O4" s="247" t="s">
        <v>123</v>
      </c>
      <c r="P4" s="245" t="s">
        <v>23</v>
      </c>
      <c r="Q4" s="246" t="s">
        <v>24</v>
      </c>
      <c r="R4" s="248" t="s">
        <v>123</v>
      </c>
    </row>
    <row r="5" spans="1:20" ht="14.45" customHeight="1" x14ac:dyDescent="0.25">
      <c r="A5" s="660" t="s">
        <v>357</v>
      </c>
      <c r="B5" s="663" t="s">
        <v>40</v>
      </c>
      <c r="C5" s="46" t="s">
        <v>26</v>
      </c>
      <c r="D5" s="302">
        <f t="array" ref="D5">SUM(G5:R5*(MOD(COLUMN(G5:R5),3)=1))</f>
        <v>962935</v>
      </c>
      <c r="E5" s="285">
        <f t="array" ref="E5">SUM(G5:R5*(MOD(COLUMN(G5:R5),3)=2))</f>
        <v>962935</v>
      </c>
      <c r="F5" s="303">
        <f t="array" ref="F5">SUM(G5:R5*(MOD(COLUMN(G5:R5),3)=0))</f>
        <v>0</v>
      </c>
      <c r="G5" s="299">
        <f>Faktory!$D$16</f>
        <v>57043</v>
      </c>
      <c r="H5" s="299">
        <f t="shared" ref="H5:H14" si="0">G5*$T5</f>
        <v>57043</v>
      </c>
      <c r="I5" s="358">
        <f>H5-G5</f>
        <v>0</v>
      </c>
      <c r="J5" s="299">
        <f>Faktory!$D$42</f>
        <v>900000</v>
      </c>
      <c r="K5" s="299">
        <f t="shared" ref="K5:K14" si="1">J5*$T5</f>
        <v>900000</v>
      </c>
      <c r="L5" s="358">
        <f>K5-J5</f>
        <v>0</v>
      </c>
      <c r="M5" s="286">
        <f>Faktory!$D$17</f>
        <v>393</v>
      </c>
      <c r="N5" s="286">
        <f t="shared" ref="N5:N14" si="2">M5*$T5</f>
        <v>393</v>
      </c>
      <c r="O5" s="358">
        <f>N5-M5</f>
        <v>0</v>
      </c>
      <c r="P5" s="286">
        <f>Faktory!$D$18</f>
        <v>5499</v>
      </c>
      <c r="Q5" s="286">
        <f>P5*$T5</f>
        <v>5499</v>
      </c>
      <c r="R5" s="369">
        <f>Q5-P5</f>
        <v>0</v>
      </c>
      <c r="S5" s="461">
        <v>0</v>
      </c>
      <c r="T5" s="460">
        <v>1</v>
      </c>
    </row>
    <row r="6" spans="1:20" x14ac:dyDescent="0.25">
      <c r="A6" s="661"/>
      <c r="B6" s="664"/>
      <c r="C6" s="33" t="s">
        <v>27</v>
      </c>
      <c r="D6" s="304">
        <f t="array" ref="D6">SUM(G6:R6*(MOD(COLUMN(G6:R6),3)=1))</f>
        <v>962935</v>
      </c>
      <c r="E6" s="288">
        <f t="array" ref="E6">SUM(G6:R6*(MOD(COLUMN(G6:R6),3)=2))</f>
        <v>962935</v>
      </c>
      <c r="F6" s="305">
        <f t="array" ref="F6">SUM(G6:R6*(MOD(COLUMN(G6:R6),3)=0))</f>
        <v>0</v>
      </c>
      <c r="G6" s="300">
        <f>Faktory!$D$16</f>
        <v>57043</v>
      </c>
      <c r="H6" s="300">
        <f t="shared" si="0"/>
        <v>57043</v>
      </c>
      <c r="I6" s="359">
        <f t="shared" ref="I6:I24" si="3">H6-G6</f>
        <v>0</v>
      </c>
      <c r="J6" s="300">
        <f>Faktory!$D$42</f>
        <v>900000</v>
      </c>
      <c r="K6" s="300">
        <f t="shared" si="1"/>
        <v>900000</v>
      </c>
      <c r="L6" s="359">
        <f t="shared" ref="L6:L24" si="4">K6-J6</f>
        <v>0</v>
      </c>
      <c r="M6" s="289">
        <f>Faktory!$D$17</f>
        <v>393</v>
      </c>
      <c r="N6" s="289">
        <f t="shared" si="2"/>
        <v>393</v>
      </c>
      <c r="O6" s="359">
        <f t="shared" ref="O6:O24" si="5">N6-M6</f>
        <v>0</v>
      </c>
      <c r="P6" s="289">
        <f>Faktory!$D$18</f>
        <v>5499</v>
      </c>
      <c r="Q6" s="289">
        <f t="shared" ref="Q6:Q14" si="6">P6*$T6</f>
        <v>5499</v>
      </c>
      <c r="R6" s="370">
        <f t="shared" ref="R6:R24" si="7">Q6-P6</f>
        <v>0</v>
      </c>
      <c r="T6" s="460">
        <v>1</v>
      </c>
    </row>
    <row r="7" spans="1:20" x14ac:dyDescent="0.25">
      <c r="A7" s="661"/>
      <c r="B7" s="664"/>
      <c r="C7" s="33" t="s">
        <v>28</v>
      </c>
      <c r="D7" s="304">
        <f t="array" ref="D7">SUM(G7:R7*(MOD(COLUMN(G7:R7),3)=1))</f>
        <v>962935</v>
      </c>
      <c r="E7" s="288">
        <f t="array" ref="E7">SUM(G7:R7*(MOD(COLUMN(G7:R7),3)=2))</f>
        <v>962935</v>
      </c>
      <c r="F7" s="305">
        <f t="array" ref="F7">SUM(G7:R7*(MOD(COLUMN(G7:R7),3)=0))</f>
        <v>0</v>
      </c>
      <c r="G7" s="300">
        <f>Faktory!$D$16</f>
        <v>57043</v>
      </c>
      <c r="H7" s="300">
        <f t="shared" si="0"/>
        <v>57043</v>
      </c>
      <c r="I7" s="359">
        <f t="shared" si="3"/>
        <v>0</v>
      </c>
      <c r="J7" s="300">
        <f>Faktory!$D$42</f>
        <v>900000</v>
      </c>
      <c r="K7" s="300">
        <f t="shared" si="1"/>
        <v>900000</v>
      </c>
      <c r="L7" s="359">
        <f t="shared" si="4"/>
        <v>0</v>
      </c>
      <c r="M7" s="289">
        <f>Faktory!$D$17</f>
        <v>393</v>
      </c>
      <c r="N7" s="289">
        <f t="shared" si="2"/>
        <v>393</v>
      </c>
      <c r="O7" s="359">
        <f t="shared" si="5"/>
        <v>0</v>
      </c>
      <c r="P7" s="289">
        <f>Faktory!$D$18</f>
        <v>5499</v>
      </c>
      <c r="Q7" s="289">
        <f t="shared" si="6"/>
        <v>5499</v>
      </c>
      <c r="R7" s="370">
        <f t="shared" si="7"/>
        <v>0</v>
      </c>
      <c r="T7" s="460">
        <v>1</v>
      </c>
    </row>
    <row r="8" spans="1:20" x14ac:dyDescent="0.25">
      <c r="A8" s="661"/>
      <c r="B8" s="664"/>
      <c r="C8" s="33" t="s">
        <v>29</v>
      </c>
      <c r="D8" s="304">
        <f t="array" ref="D8">SUM(G8:R8*(MOD(COLUMN(G8:R8),3)=1))</f>
        <v>962935</v>
      </c>
      <c r="E8" s="288">
        <f t="array" ref="E8">SUM(G8:R8*(MOD(COLUMN(G8:R8),3)=2))</f>
        <v>962935</v>
      </c>
      <c r="F8" s="305">
        <f t="array" ref="F8">SUM(G8:R8*(MOD(COLUMN(G8:R8),3)=0))</f>
        <v>0</v>
      </c>
      <c r="G8" s="300">
        <f>Faktory!$D$16</f>
        <v>57043</v>
      </c>
      <c r="H8" s="300">
        <f t="shared" si="0"/>
        <v>57043</v>
      </c>
      <c r="I8" s="359">
        <f t="shared" si="3"/>
        <v>0</v>
      </c>
      <c r="J8" s="300">
        <f>Faktory!$D$42</f>
        <v>900000</v>
      </c>
      <c r="K8" s="300">
        <f t="shared" si="1"/>
        <v>900000</v>
      </c>
      <c r="L8" s="359">
        <f t="shared" si="4"/>
        <v>0</v>
      </c>
      <c r="M8" s="289">
        <f>Faktory!$D$17</f>
        <v>393</v>
      </c>
      <c r="N8" s="289">
        <f t="shared" si="2"/>
        <v>393</v>
      </c>
      <c r="O8" s="359">
        <f t="shared" si="5"/>
        <v>0</v>
      </c>
      <c r="P8" s="289">
        <f>Faktory!$D$18</f>
        <v>5499</v>
      </c>
      <c r="Q8" s="289">
        <f t="shared" si="6"/>
        <v>5499</v>
      </c>
      <c r="R8" s="370">
        <f t="shared" si="7"/>
        <v>0</v>
      </c>
      <c r="T8" s="460">
        <v>1</v>
      </c>
    </row>
    <row r="9" spans="1:20" x14ac:dyDescent="0.25">
      <c r="A9" s="661"/>
      <c r="B9" s="664"/>
      <c r="C9" s="33" t="s">
        <v>30</v>
      </c>
      <c r="D9" s="304">
        <f t="array" ref="D9">SUM(G9:R9*(MOD(COLUMN(G9:R9),3)=1))</f>
        <v>962935</v>
      </c>
      <c r="E9" s="288">
        <f t="array" ref="E9">SUM(G9:R9*(MOD(COLUMN(G9:R9),3)=2))</f>
        <v>962935</v>
      </c>
      <c r="F9" s="305">
        <f t="array" ref="F9">SUM(G9:R9*(MOD(COLUMN(G9:R9),3)=0))</f>
        <v>0</v>
      </c>
      <c r="G9" s="300">
        <f>Faktory!$D$16</f>
        <v>57043</v>
      </c>
      <c r="H9" s="300">
        <f t="shared" si="0"/>
        <v>57043</v>
      </c>
      <c r="I9" s="359">
        <f t="shared" si="3"/>
        <v>0</v>
      </c>
      <c r="J9" s="300">
        <f>Faktory!$D$42</f>
        <v>900000</v>
      </c>
      <c r="K9" s="300">
        <f t="shared" si="1"/>
        <v>900000</v>
      </c>
      <c r="L9" s="359">
        <f t="shared" si="4"/>
        <v>0</v>
      </c>
      <c r="M9" s="289">
        <f>Faktory!$D$17</f>
        <v>393</v>
      </c>
      <c r="N9" s="289">
        <f t="shared" si="2"/>
        <v>393</v>
      </c>
      <c r="O9" s="359">
        <f t="shared" si="5"/>
        <v>0</v>
      </c>
      <c r="P9" s="289">
        <f>Faktory!$D$18</f>
        <v>5499</v>
      </c>
      <c r="Q9" s="289">
        <f t="shared" si="6"/>
        <v>5499</v>
      </c>
      <c r="R9" s="370">
        <f t="shared" si="7"/>
        <v>0</v>
      </c>
      <c r="T9" s="460">
        <v>1</v>
      </c>
    </row>
    <row r="10" spans="1:20" x14ac:dyDescent="0.25">
      <c r="A10" s="661"/>
      <c r="B10" s="664"/>
      <c r="C10" s="33" t="s">
        <v>31</v>
      </c>
      <c r="D10" s="304">
        <f t="array" ref="D10">SUM(G10:R10*(MOD(COLUMN(G10:R10),3)=1))</f>
        <v>962935</v>
      </c>
      <c r="E10" s="288">
        <f t="array" ref="E10">SUM(G10:R10*(MOD(COLUMN(G10:R10),3)=2))</f>
        <v>962935</v>
      </c>
      <c r="F10" s="305">
        <f t="array" ref="F10">SUM(G10:R10*(MOD(COLUMN(G10:R10),3)=0))</f>
        <v>0</v>
      </c>
      <c r="G10" s="300">
        <f>Faktory!$D$16</f>
        <v>57043</v>
      </c>
      <c r="H10" s="300">
        <f t="shared" si="0"/>
        <v>57043</v>
      </c>
      <c r="I10" s="359">
        <f t="shared" si="3"/>
        <v>0</v>
      </c>
      <c r="J10" s="300">
        <f>Faktory!$D$42</f>
        <v>900000</v>
      </c>
      <c r="K10" s="300">
        <f t="shared" si="1"/>
        <v>900000</v>
      </c>
      <c r="L10" s="359">
        <f t="shared" si="4"/>
        <v>0</v>
      </c>
      <c r="M10" s="289">
        <f>Faktory!$D$17</f>
        <v>393</v>
      </c>
      <c r="N10" s="289">
        <f t="shared" si="2"/>
        <v>393</v>
      </c>
      <c r="O10" s="359">
        <f t="shared" si="5"/>
        <v>0</v>
      </c>
      <c r="P10" s="289">
        <f>Faktory!$D$18</f>
        <v>5499</v>
      </c>
      <c r="Q10" s="289">
        <f t="shared" si="6"/>
        <v>5499</v>
      </c>
      <c r="R10" s="370">
        <f t="shared" si="7"/>
        <v>0</v>
      </c>
      <c r="T10" s="460">
        <v>1</v>
      </c>
    </row>
    <row r="11" spans="1:20" x14ac:dyDescent="0.25">
      <c r="A11" s="661"/>
      <c r="B11" s="664"/>
      <c r="C11" s="33" t="s">
        <v>32</v>
      </c>
      <c r="D11" s="304">
        <f t="array" ref="D11">SUM(G11:R11*(MOD(COLUMN(G11:R11),3)=1))</f>
        <v>962935</v>
      </c>
      <c r="E11" s="288">
        <f t="array" ref="E11">SUM(G11:R11*(MOD(COLUMN(G11:R11),3)=2))</f>
        <v>962935</v>
      </c>
      <c r="F11" s="305">
        <f t="array" ref="F11">SUM(G11:R11*(MOD(COLUMN(G11:R11),3)=0))</f>
        <v>0</v>
      </c>
      <c r="G11" s="300">
        <f>Faktory!$D$16</f>
        <v>57043</v>
      </c>
      <c r="H11" s="300">
        <f t="shared" si="0"/>
        <v>57043</v>
      </c>
      <c r="I11" s="359">
        <f t="shared" si="3"/>
        <v>0</v>
      </c>
      <c r="J11" s="300">
        <f>Faktory!$D$42</f>
        <v>900000</v>
      </c>
      <c r="K11" s="300">
        <f t="shared" si="1"/>
        <v>900000</v>
      </c>
      <c r="L11" s="359">
        <f t="shared" si="4"/>
        <v>0</v>
      </c>
      <c r="M11" s="289">
        <f>Faktory!$D$17</f>
        <v>393</v>
      </c>
      <c r="N11" s="289">
        <f t="shared" si="2"/>
        <v>393</v>
      </c>
      <c r="O11" s="359">
        <f t="shared" si="5"/>
        <v>0</v>
      </c>
      <c r="P11" s="289">
        <f>Faktory!$D$18</f>
        <v>5499</v>
      </c>
      <c r="Q11" s="289">
        <f t="shared" si="6"/>
        <v>5499</v>
      </c>
      <c r="R11" s="370">
        <f t="shared" si="7"/>
        <v>0</v>
      </c>
      <c r="T11" s="460">
        <v>1</v>
      </c>
    </row>
    <row r="12" spans="1:20" x14ac:dyDescent="0.25">
      <c r="A12" s="661"/>
      <c r="B12" s="664"/>
      <c r="C12" s="33" t="s">
        <v>33</v>
      </c>
      <c r="D12" s="304">
        <f t="array" ref="D12">SUM(G12:R12*(MOD(COLUMN(G12:R12),3)=1))</f>
        <v>962935</v>
      </c>
      <c r="E12" s="288">
        <f t="array" ref="E12">SUM(G12:R12*(MOD(COLUMN(G12:R12),3)=2))</f>
        <v>962935</v>
      </c>
      <c r="F12" s="305">
        <f t="array" ref="F12">SUM(G12:R12*(MOD(COLUMN(G12:R12),3)=0))</f>
        <v>0</v>
      </c>
      <c r="G12" s="300">
        <f>Faktory!$D$16</f>
        <v>57043</v>
      </c>
      <c r="H12" s="300">
        <f t="shared" si="0"/>
        <v>57043</v>
      </c>
      <c r="I12" s="359">
        <f t="shared" si="3"/>
        <v>0</v>
      </c>
      <c r="J12" s="300">
        <f>Faktory!$D$42</f>
        <v>900000</v>
      </c>
      <c r="K12" s="300">
        <f t="shared" si="1"/>
        <v>900000</v>
      </c>
      <c r="L12" s="359">
        <f t="shared" si="4"/>
        <v>0</v>
      </c>
      <c r="M12" s="289">
        <f>Faktory!$D$17</f>
        <v>393</v>
      </c>
      <c r="N12" s="289">
        <f t="shared" si="2"/>
        <v>393</v>
      </c>
      <c r="O12" s="359">
        <f t="shared" si="5"/>
        <v>0</v>
      </c>
      <c r="P12" s="289">
        <f>Faktory!$D$18</f>
        <v>5499</v>
      </c>
      <c r="Q12" s="289">
        <f t="shared" si="6"/>
        <v>5499</v>
      </c>
      <c r="R12" s="370">
        <f t="shared" si="7"/>
        <v>0</v>
      </c>
      <c r="T12" s="460">
        <v>1</v>
      </c>
    </row>
    <row r="13" spans="1:20" x14ac:dyDescent="0.25">
      <c r="A13" s="661"/>
      <c r="B13" s="664"/>
      <c r="C13" s="33" t="s">
        <v>34</v>
      </c>
      <c r="D13" s="304">
        <f t="array" ref="D13">SUM(G13:R13*(MOD(COLUMN(G13:R13),3)=1))</f>
        <v>962935</v>
      </c>
      <c r="E13" s="288">
        <f t="array" ref="E13">SUM(G13:R13*(MOD(COLUMN(G13:R13),3)=2))</f>
        <v>962935</v>
      </c>
      <c r="F13" s="305">
        <f t="array" ref="F13">SUM(G13:R13*(MOD(COLUMN(G13:R13),3)=0))</f>
        <v>0</v>
      </c>
      <c r="G13" s="300">
        <f>Faktory!$D$16</f>
        <v>57043</v>
      </c>
      <c r="H13" s="300">
        <f t="shared" si="0"/>
        <v>57043</v>
      </c>
      <c r="I13" s="359">
        <f t="shared" si="3"/>
        <v>0</v>
      </c>
      <c r="J13" s="300">
        <f>Faktory!$D$42</f>
        <v>900000</v>
      </c>
      <c r="K13" s="300">
        <f t="shared" si="1"/>
        <v>900000</v>
      </c>
      <c r="L13" s="359">
        <f t="shared" si="4"/>
        <v>0</v>
      </c>
      <c r="M13" s="289">
        <f>Faktory!$D$17</f>
        <v>393</v>
      </c>
      <c r="N13" s="289">
        <f t="shared" si="2"/>
        <v>393</v>
      </c>
      <c r="O13" s="359">
        <f t="shared" si="5"/>
        <v>0</v>
      </c>
      <c r="P13" s="289">
        <f>Faktory!$D$18</f>
        <v>5499</v>
      </c>
      <c r="Q13" s="289">
        <f t="shared" si="6"/>
        <v>5499</v>
      </c>
      <c r="R13" s="370">
        <f t="shared" si="7"/>
        <v>0</v>
      </c>
      <c r="T13" s="460">
        <v>1</v>
      </c>
    </row>
    <row r="14" spans="1:20" ht="15.75" thickBot="1" x14ac:dyDescent="0.3">
      <c r="A14" s="662"/>
      <c r="B14" s="665"/>
      <c r="C14" s="47" t="s">
        <v>35</v>
      </c>
      <c r="D14" s="306">
        <f t="array" ref="D14">SUM(G14:R14*(MOD(COLUMN(G14:R14),3)=1))</f>
        <v>962935</v>
      </c>
      <c r="E14" s="291">
        <f t="array" ref="E14">SUM(G14:R14*(MOD(COLUMN(G14:R14),3)=2))</f>
        <v>962935</v>
      </c>
      <c r="F14" s="307">
        <f t="array" ref="F14">SUM(G14:R14*(MOD(COLUMN(G14:R14),3)=0))</f>
        <v>0</v>
      </c>
      <c r="G14" s="301">
        <f>Faktory!$D$16</f>
        <v>57043</v>
      </c>
      <c r="H14" s="301">
        <f t="shared" si="0"/>
        <v>57043</v>
      </c>
      <c r="I14" s="360">
        <f t="shared" si="3"/>
        <v>0</v>
      </c>
      <c r="J14" s="301">
        <f>Faktory!$D$42</f>
        <v>900000</v>
      </c>
      <c r="K14" s="301">
        <f t="shared" si="1"/>
        <v>900000</v>
      </c>
      <c r="L14" s="360">
        <f t="shared" si="4"/>
        <v>0</v>
      </c>
      <c r="M14" s="292">
        <f>Faktory!$D$17</f>
        <v>393</v>
      </c>
      <c r="N14" s="292">
        <f t="shared" si="2"/>
        <v>393</v>
      </c>
      <c r="O14" s="360">
        <f t="shared" si="5"/>
        <v>0</v>
      </c>
      <c r="P14" s="292">
        <f>Faktory!$D$18</f>
        <v>5499</v>
      </c>
      <c r="Q14" s="292">
        <f t="shared" si="6"/>
        <v>5499</v>
      </c>
      <c r="R14" s="371">
        <f t="shared" si="7"/>
        <v>0</v>
      </c>
      <c r="T14" s="460">
        <v>1</v>
      </c>
    </row>
    <row r="15" spans="1:20" x14ac:dyDescent="0.25">
      <c r="A15" s="660" t="s">
        <v>376</v>
      </c>
      <c r="B15" s="663" t="s">
        <v>12</v>
      </c>
      <c r="C15" s="46" t="s">
        <v>26</v>
      </c>
      <c r="D15" s="495">
        <f t="array" ref="D15">SUM(G15:R15*(MOD(COLUMN(G15:R15),3)=1))</f>
        <v>1.6240906323705206</v>
      </c>
      <c r="E15" s="496">
        <f t="array" ref="E15">SUM(G15:R15*(MOD(COLUMN(G15:R15),3)=2))</f>
        <v>1.6240906323705206</v>
      </c>
      <c r="F15" s="497">
        <f t="array" ref="F15">SUM(G15:R15*(MOD(COLUMN(G15:R15),3)=0))</f>
        <v>0</v>
      </c>
      <c r="G15" s="492">
        <f>Faktory!$D$20</f>
        <v>1.22</v>
      </c>
      <c r="H15" s="295">
        <f>G15</f>
        <v>1.22</v>
      </c>
      <c r="I15" s="361">
        <f t="shared" si="3"/>
        <v>0</v>
      </c>
      <c r="J15" s="492">
        <f>Faktory!$D$51</f>
        <v>0.40409063237052073</v>
      </c>
      <c r="K15" s="295">
        <f>J15</f>
        <v>0.40409063237052073</v>
      </c>
      <c r="L15" s="361">
        <f t="shared" si="4"/>
        <v>0</v>
      </c>
      <c r="M15" s="492"/>
      <c r="N15" s="295">
        <f>M15</f>
        <v>0</v>
      </c>
      <c r="O15" s="361">
        <f t="shared" si="5"/>
        <v>0</v>
      </c>
      <c r="P15" s="492"/>
      <c r="Q15" s="295">
        <f>P15</f>
        <v>0</v>
      </c>
      <c r="R15" s="372">
        <f t="shared" si="7"/>
        <v>0</v>
      </c>
    </row>
    <row r="16" spans="1:20" x14ac:dyDescent="0.25">
      <c r="A16" s="661"/>
      <c r="B16" s="664"/>
      <c r="C16" s="33" t="s">
        <v>27</v>
      </c>
      <c r="D16" s="498">
        <f t="array" ref="D16">SUM(G16:R16*(MOD(COLUMN(G16:R16),3)=1))</f>
        <v>1.6240906323705206</v>
      </c>
      <c r="E16" s="499">
        <f t="array" ref="E16">SUM(G16:R16*(MOD(COLUMN(G16:R16),3)=2))</f>
        <v>1.6240906323705206</v>
      </c>
      <c r="F16" s="500">
        <f t="array" ref="F16">SUM(G16:R16*(MOD(COLUMN(G16:R16),3)=0))</f>
        <v>0</v>
      </c>
      <c r="G16" s="493">
        <f>Faktory!$D$20</f>
        <v>1.22</v>
      </c>
      <c r="H16" s="296">
        <f>G16</f>
        <v>1.22</v>
      </c>
      <c r="I16" s="362">
        <f t="shared" si="3"/>
        <v>0</v>
      </c>
      <c r="J16" s="493">
        <f>Faktory!$D$51</f>
        <v>0.40409063237052073</v>
      </c>
      <c r="K16" s="296">
        <f>J16</f>
        <v>0.40409063237052073</v>
      </c>
      <c r="L16" s="362">
        <f t="shared" si="4"/>
        <v>0</v>
      </c>
      <c r="M16" s="493"/>
      <c r="N16" s="296">
        <f>M16</f>
        <v>0</v>
      </c>
      <c r="O16" s="362">
        <f t="shared" si="5"/>
        <v>0</v>
      </c>
      <c r="P16" s="493"/>
      <c r="Q16" s="296">
        <f>P16</f>
        <v>0</v>
      </c>
      <c r="R16" s="373">
        <f t="shared" si="7"/>
        <v>0</v>
      </c>
    </row>
    <row r="17" spans="1:18" x14ac:dyDescent="0.25">
      <c r="A17" s="661"/>
      <c r="B17" s="664"/>
      <c r="C17" s="33" t="s">
        <v>28</v>
      </c>
      <c r="D17" s="498">
        <f t="array" ref="D17">SUM(G17:R17*(MOD(COLUMN(G17:R17),3)=1))</f>
        <v>1.6240906323705206</v>
      </c>
      <c r="E17" s="499">
        <f t="array" ref="E17">SUM(G17:R17*(MOD(COLUMN(G17:R17),3)=2))</f>
        <v>0.40409063237052073</v>
      </c>
      <c r="F17" s="500">
        <f t="array" ref="F17">SUM(G17:R17*(MOD(COLUMN(G17:R17),3)=0))</f>
        <v>-1.22</v>
      </c>
      <c r="G17" s="493">
        <f>Faktory!$D$20</f>
        <v>1.22</v>
      </c>
      <c r="H17" s="296">
        <v>0</v>
      </c>
      <c r="I17" s="362">
        <f t="shared" si="3"/>
        <v>-1.22</v>
      </c>
      <c r="J17" s="493">
        <f>Faktory!$D$51</f>
        <v>0.40409063237052073</v>
      </c>
      <c r="K17" s="296">
        <f t="shared" ref="K17:K24" si="8">J17</f>
        <v>0.40409063237052073</v>
      </c>
      <c r="L17" s="362">
        <f t="shared" si="4"/>
        <v>0</v>
      </c>
      <c r="M17" s="493"/>
      <c r="N17" s="296">
        <v>0</v>
      </c>
      <c r="O17" s="362">
        <f t="shared" si="5"/>
        <v>0</v>
      </c>
      <c r="P17" s="493"/>
      <c r="Q17" s="296">
        <v>0</v>
      </c>
      <c r="R17" s="373">
        <f t="shared" si="7"/>
        <v>0</v>
      </c>
    </row>
    <row r="18" spans="1:18" x14ac:dyDescent="0.25">
      <c r="A18" s="661"/>
      <c r="B18" s="664"/>
      <c r="C18" s="33" t="s">
        <v>29</v>
      </c>
      <c r="D18" s="498">
        <f t="array" ref="D18">SUM(G18:R18*(MOD(COLUMN(G18:R18),3)=1))</f>
        <v>1.6240906323705206</v>
      </c>
      <c r="E18" s="499">
        <f t="array" ref="E18">SUM(G18:R18*(MOD(COLUMN(G18:R18),3)=2))</f>
        <v>0.40409063237052073</v>
      </c>
      <c r="F18" s="500">
        <f t="array" ref="F18">SUM(G18:R18*(MOD(COLUMN(G18:R18),3)=0))</f>
        <v>-1.22</v>
      </c>
      <c r="G18" s="493">
        <f>Faktory!$D$20</f>
        <v>1.22</v>
      </c>
      <c r="H18" s="296">
        <v>0</v>
      </c>
      <c r="I18" s="362">
        <f t="shared" si="3"/>
        <v>-1.22</v>
      </c>
      <c r="J18" s="493">
        <f>Faktory!$D$51</f>
        <v>0.40409063237052073</v>
      </c>
      <c r="K18" s="296">
        <f t="shared" si="8"/>
        <v>0.40409063237052073</v>
      </c>
      <c r="L18" s="362">
        <f t="shared" si="4"/>
        <v>0</v>
      </c>
      <c r="M18" s="493"/>
      <c r="N18" s="296">
        <v>0</v>
      </c>
      <c r="O18" s="362">
        <f t="shared" si="5"/>
        <v>0</v>
      </c>
      <c r="P18" s="493"/>
      <c r="Q18" s="296">
        <v>0</v>
      </c>
      <c r="R18" s="373">
        <f t="shared" si="7"/>
        <v>0</v>
      </c>
    </row>
    <row r="19" spans="1:18" x14ac:dyDescent="0.25">
      <c r="A19" s="661"/>
      <c r="B19" s="664"/>
      <c r="C19" s="33" t="s">
        <v>30</v>
      </c>
      <c r="D19" s="498">
        <f t="array" ref="D19">SUM(G19:R19*(MOD(COLUMN(G19:R19),3)=1))</f>
        <v>1.6240906323705206</v>
      </c>
      <c r="E19" s="499">
        <f t="array" ref="E19">SUM(G19:R19*(MOD(COLUMN(G19:R19),3)=2))</f>
        <v>0.40409063237052073</v>
      </c>
      <c r="F19" s="500">
        <f t="array" ref="F19">SUM(G19:R19*(MOD(COLUMN(G19:R19),3)=0))</f>
        <v>-1.22</v>
      </c>
      <c r="G19" s="493">
        <f>Faktory!$D$20</f>
        <v>1.22</v>
      </c>
      <c r="H19" s="296">
        <v>0</v>
      </c>
      <c r="I19" s="362">
        <f t="shared" si="3"/>
        <v>-1.22</v>
      </c>
      <c r="J19" s="493">
        <f>Faktory!$D$51</f>
        <v>0.40409063237052073</v>
      </c>
      <c r="K19" s="296">
        <f t="shared" si="8"/>
        <v>0.40409063237052073</v>
      </c>
      <c r="L19" s="362">
        <f t="shared" si="4"/>
        <v>0</v>
      </c>
      <c r="M19" s="493"/>
      <c r="N19" s="296">
        <v>0</v>
      </c>
      <c r="O19" s="362">
        <f t="shared" si="5"/>
        <v>0</v>
      </c>
      <c r="P19" s="493"/>
      <c r="Q19" s="296">
        <v>0</v>
      </c>
      <c r="R19" s="373">
        <f t="shared" si="7"/>
        <v>0</v>
      </c>
    </row>
    <row r="20" spans="1:18" x14ac:dyDescent="0.25">
      <c r="A20" s="661"/>
      <c r="B20" s="664"/>
      <c r="C20" s="33" t="s">
        <v>31</v>
      </c>
      <c r="D20" s="498">
        <f t="array" ref="D20">SUM(G20:R20*(MOD(COLUMN(G20:R20),3)=1))</f>
        <v>1.6240906323705206</v>
      </c>
      <c r="E20" s="499">
        <f t="array" ref="E20">SUM(G20:R20*(MOD(COLUMN(G20:R20),3)=2))</f>
        <v>0.40409063237052073</v>
      </c>
      <c r="F20" s="500">
        <f t="array" ref="F20">SUM(G20:R20*(MOD(COLUMN(G20:R20),3)=0))</f>
        <v>-1.22</v>
      </c>
      <c r="G20" s="493">
        <f>Faktory!$D$20</f>
        <v>1.22</v>
      </c>
      <c r="H20" s="296">
        <v>0</v>
      </c>
      <c r="I20" s="362">
        <f t="shared" si="3"/>
        <v>-1.22</v>
      </c>
      <c r="J20" s="493">
        <f>Faktory!$D$51</f>
        <v>0.40409063237052073</v>
      </c>
      <c r="K20" s="296">
        <f t="shared" si="8"/>
        <v>0.40409063237052073</v>
      </c>
      <c r="L20" s="362">
        <f t="shared" si="4"/>
        <v>0</v>
      </c>
      <c r="M20" s="493"/>
      <c r="N20" s="296">
        <v>0</v>
      </c>
      <c r="O20" s="362">
        <f t="shared" si="5"/>
        <v>0</v>
      </c>
      <c r="P20" s="493"/>
      <c r="Q20" s="296">
        <v>0</v>
      </c>
      <c r="R20" s="373">
        <f t="shared" si="7"/>
        <v>0</v>
      </c>
    </row>
    <row r="21" spans="1:18" x14ac:dyDescent="0.25">
      <c r="A21" s="661"/>
      <c r="B21" s="664"/>
      <c r="C21" s="33" t="s">
        <v>32</v>
      </c>
      <c r="D21" s="498">
        <f t="array" ref="D21">SUM(G21:R21*(MOD(COLUMN(G21:R21),3)=1))</f>
        <v>1.6240906323705206</v>
      </c>
      <c r="E21" s="499">
        <f t="array" ref="E21">SUM(G21:R21*(MOD(COLUMN(G21:R21),3)=2))</f>
        <v>0.40409063237052073</v>
      </c>
      <c r="F21" s="500">
        <f t="array" ref="F21">SUM(G21:R21*(MOD(COLUMN(G21:R21),3)=0))</f>
        <v>-1.22</v>
      </c>
      <c r="G21" s="493">
        <f>Faktory!$D$20</f>
        <v>1.22</v>
      </c>
      <c r="H21" s="296">
        <v>0</v>
      </c>
      <c r="I21" s="362">
        <f t="shared" si="3"/>
        <v>-1.22</v>
      </c>
      <c r="J21" s="493">
        <f>Faktory!$D$51</f>
        <v>0.40409063237052073</v>
      </c>
      <c r="K21" s="296">
        <f t="shared" si="8"/>
        <v>0.40409063237052073</v>
      </c>
      <c r="L21" s="362">
        <f t="shared" si="4"/>
        <v>0</v>
      </c>
      <c r="M21" s="493"/>
      <c r="N21" s="296">
        <v>0</v>
      </c>
      <c r="O21" s="362">
        <f t="shared" si="5"/>
        <v>0</v>
      </c>
      <c r="P21" s="493"/>
      <c r="Q21" s="296">
        <v>0</v>
      </c>
      <c r="R21" s="373">
        <f t="shared" si="7"/>
        <v>0</v>
      </c>
    </row>
    <row r="22" spans="1:18" x14ac:dyDescent="0.25">
      <c r="A22" s="661"/>
      <c r="B22" s="664"/>
      <c r="C22" s="33" t="s">
        <v>33</v>
      </c>
      <c r="D22" s="498">
        <f t="array" ref="D22">SUM(G22:R22*(MOD(COLUMN(G22:R22),3)=1))</f>
        <v>1.6240906323705206</v>
      </c>
      <c r="E22" s="499">
        <f t="array" ref="E22">SUM(G22:R22*(MOD(COLUMN(G22:R22),3)=2))</f>
        <v>0.40409063237052073</v>
      </c>
      <c r="F22" s="500">
        <f t="array" ref="F22">SUM(G22:R22*(MOD(COLUMN(G22:R22),3)=0))</f>
        <v>-1.22</v>
      </c>
      <c r="G22" s="493">
        <f>Faktory!$D$20</f>
        <v>1.22</v>
      </c>
      <c r="H22" s="296">
        <v>0</v>
      </c>
      <c r="I22" s="362">
        <f t="shared" si="3"/>
        <v>-1.22</v>
      </c>
      <c r="J22" s="493">
        <f>Faktory!$D$51</f>
        <v>0.40409063237052073</v>
      </c>
      <c r="K22" s="296">
        <f t="shared" si="8"/>
        <v>0.40409063237052073</v>
      </c>
      <c r="L22" s="362">
        <f t="shared" si="4"/>
        <v>0</v>
      </c>
      <c r="M22" s="493"/>
      <c r="N22" s="296">
        <v>0</v>
      </c>
      <c r="O22" s="362">
        <f t="shared" si="5"/>
        <v>0</v>
      </c>
      <c r="P22" s="493"/>
      <c r="Q22" s="296">
        <v>0</v>
      </c>
      <c r="R22" s="373">
        <f t="shared" si="7"/>
        <v>0</v>
      </c>
    </row>
    <row r="23" spans="1:18" x14ac:dyDescent="0.25">
      <c r="A23" s="661"/>
      <c r="B23" s="664"/>
      <c r="C23" s="33" t="s">
        <v>34</v>
      </c>
      <c r="D23" s="498">
        <f t="array" ref="D23">SUM(G23:R23*(MOD(COLUMN(G23:R23),3)=1))</f>
        <v>1.6240906323705206</v>
      </c>
      <c r="E23" s="499">
        <f t="array" ref="E23">SUM(G23:R23*(MOD(COLUMN(G23:R23),3)=2))</f>
        <v>0.40409063237052073</v>
      </c>
      <c r="F23" s="500">
        <f t="array" ref="F23">SUM(G23:R23*(MOD(COLUMN(G23:R23),3)=0))</f>
        <v>-1.22</v>
      </c>
      <c r="G23" s="493">
        <f>Faktory!$D$20</f>
        <v>1.22</v>
      </c>
      <c r="H23" s="296">
        <v>0</v>
      </c>
      <c r="I23" s="362">
        <f t="shared" si="3"/>
        <v>-1.22</v>
      </c>
      <c r="J23" s="493">
        <f>Faktory!$D$51</f>
        <v>0.40409063237052073</v>
      </c>
      <c r="K23" s="296">
        <f t="shared" si="8"/>
        <v>0.40409063237052073</v>
      </c>
      <c r="L23" s="362">
        <f t="shared" si="4"/>
        <v>0</v>
      </c>
      <c r="M23" s="493"/>
      <c r="N23" s="296">
        <v>0</v>
      </c>
      <c r="O23" s="362">
        <f t="shared" si="5"/>
        <v>0</v>
      </c>
      <c r="P23" s="493"/>
      <c r="Q23" s="296">
        <v>0</v>
      </c>
      <c r="R23" s="373">
        <f t="shared" si="7"/>
        <v>0</v>
      </c>
    </row>
    <row r="24" spans="1:18" ht="15.75" thickBot="1" x14ac:dyDescent="0.3">
      <c r="A24" s="662"/>
      <c r="B24" s="665"/>
      <c r="C24" s="47" t="s">
        <v>35</v>
      </c>
      <c r="D24" s="501">
        <f t="array" ref="D24">SUM(G24:R24*(MOD(COLUMN(G24:R24),3)=1))</f>
        <v>1.6240906323705206</v>
      </c>
      <c r="E24" s="502">
        <f t="array" ref="E24">SUM(G24:R24*(MOD(COLUMN(G24:R24),3)=2))</f>
        <v>0.40409063237052073</v>
      </c>
      <c r="F24" s="503">
        <f t="array" ref="F24">SUM(G24:R24*(MOD(COLUMN(G24:R24),3)=0))</f>
        <v>-1.22</v>
      </c>
      <c r="G24" s="494">
        <f>Faktory!$D$20</f>
        <v>1.22</v>
      </c>
      <c r="H24" s="296">
        <v>0</v>
      </c>
      <c r="I24" s="363">
        <f t="shared" si="3"/>
        <v>-1.22</v>
      </c>
      <c r="J24" s="494">
        <f>Faktory!$D$51</f>
        <v>0.40409063237052073</v>
      </c>
      <c r="K24" s="296">
        <f t="shared" si="8"/>
        <v>0.40409063237052073</v>
      </c>
      <c r="L24" s="363">
        <f t="shared" si="4"/>
        <v>0</v>
      </c>
      <c r="M24" s="494"/>
      <c r="N24" s="296">
        <v>0</v>
      </c>
      <c r="O24" s="363">
        <f t="shared" si="5"/>
        <v>0</v>
      </c>
      <c r="P24" s="494"/>
      <c r="Q24" s="296">
        <v>0</v>
      </c>
      <c r="R24" s="374">
        <f t="shared" si="7"/>
        <v>0</v>
      </c>
    </row>
    <row r="25" spans="1:18" s="23" customFormat="1" ht="14.25" customHeight="1" x14ac:dyDescent="0.25">
      <c r="A25" s="660" t="s">
        <v>382</v>
      </c>
      <c r="B25" s="663" t="s">
        <v>400</v>
      </c>
      <c r="C25" s="46" t="s">
        <v>26</v>
      </c>
      <c r="D25" s="495">
        <f t="array" ref="D25">SUM(G25:R25*(MOD(COLUMN(G25:R25),3)=1))</f>
        <v>0</v>
      </c>
      <c r="E25" s="496">
        <f t="array" ref="E25">SUM(G25:R25*(MOD(COLUMN(G25:R25),3)=2))</f>
        <v>0</v>
      </c>
      <c r="F25" s="497">
        <f t="array" ref="F25">SUM(G25:R25*(MOD(COLUMN(G25:R25),3)=0))</f>
        <v>0</v>
      </c>
      <c r="G25" s="469"/>
      <c r="H25" s="469"/>
      <c r="I25" s="361">
        <f>H25-G25</f>
        <v>0</v>
      </c>
      <c r="J25" s="469"/>
      <c r="K25" s="469"/>
      <c r="L25" s="361">
        <f>K25-J25</f>
        <v>0</v>
      </c>
      <c r="M25" s="492">
        <v>0</v>
      </c>
      <c r="N25" s="295">
        <v>0</v>
      </c>
      <c r="O25" s="361">
        <f>N25-M25</f>
        <v>0</v>
      </c>
      <c r="P25" s="492">
        <v>0</v>
      </c>
      <c r="Q25" s="295">
        <v>0</v>
      </c>
      <c r="R25" s="372">
        <f>Q25-P25</f>
        <v>0</v>
      </c>
    </row>
    <row r="26" spans="1:18" s="11" customFormat="1" x14ac:dyDescent="0.25">
      <c r="A26" s="661"/>
      <c r="B26" s="664"/>
      <c r="C26" s="33" t="s">
        <v>27</v>
      </c>
      <c r="D26" s="519">
        <f t="array" ref="D26">SUM(G26:R26*(MOD(COLUMN(G26:R26),3)=1))</f>
        <v>0</v>
      </c>
      <c r="E26" s="520">
        <f t="array" ref="E26">SUM(G26:R26*(MOD(COLUMN(G26:R26),3)=2))</f>
        <v>0</v>
      </c>
      <c r="F26" s="521">
        <f t="array" ref="F26">SUM(G26:R26*(MOD(COLUMN(G26:R26),3)=0))</f>
        <v>0</v>
      </c>
      <c r="G26" s="470"/>
      <c r="H26" s="470"/>
      <c r="I26" s="362">
        <f t="shared" ref="I26:I43" si="9">H26-G26</f>
        <v>0</v>
      </c>
      <c r="J26" s="470"/>
      <c r="K26" s="470"/>
      <c r="L26" s="362">
        <f t="shared" ref="L26:L43" si="10">K26-J26</f>
        <v>0</v>
      </c>
      <c r="M26" s="493">
        <v>0</v>
      </c>
      <c r="N26" s="296">
        <v>0</v>
      </c>
      <c r="O26" s="362">
        <f t="shared" ref="O26:O43" si="11">N26-M26</f>
        <v>0</v>
      </c>
      <c r="P26" s="493">
        <v>0</v>
      </c>
      <c r="Q26" s="296">
        <v>0</v>
      </c>
      <c r="R26" s="373">
        <f t="shared" ref="R26:R53" si="12">Q26-P26</f>
        <v>0</v>
      </c>
    </row>
    <row r="27" spans="1:18" s="11" customFormat="1" x14ac:dyDescent="0.25">
      <c r="A27" s="661"/>
      <c r="B27" s="664"/>
      <c r="C27" s="33" t="s">
        <v>28</v>
      </c>
      <c r="D27" s="519">
        <f t="array" ref="D27">SUM(G27:R27*(MOD(COLUMN(G27:R27),3)=1))</f>
        <v>0</v>
      </c>
      <c r="E27" s="520">
        <f t="array" ref="E27">SUM(G27:R27*(MOD(COLUMN(G27:R27),3)=2))</f>
        <v>0</v>
      </c>
      <c r="F27" s="521">
        <f t="array" ref="F27">SUM(G27:R27*(MOD(COLUMN(G27:R27),3)=0))</f>
        <v>0</v>
      </c>
      <c r="G27" s="470"/>
      <c r="H27" s="470"/>
      <c r="I27" s="362">
        <f t="shared" si="9"/>
        <v>0</v>
      </c>
      <c r="J27" s="470"/>
      <c r="K27" s="470"/>
      <c r="L27" s="362">
        <f t="shared" si="10"/>
        <v>0</v>
      </c>
      <c r="M27" s="493">
        <v>0</v>
      </c>
      <c r="N27" s="296">
        <f>ABS(Faktory!$D$38*O47)</f>
        <v>0</v>
      </c>
      <c r="O27" s="362">
        <f t="shared" si="11"/>
        <v>0</v>
      </c>
      <c r="P27" s="493">
        <v>0</v>
      </c>
      <c r="Q27" s="296">
        <f>ABS(Faktory!$D$35*R47)</f>
        <v>0</v>
      </c>
      <c r="R27" s="373">
        <f t="shared" si="12"/>
        <v>0</v>
      </c>
    </row>
    <row r="28" spans="1:18" s="11" customFormat="1" x14ac:dyDescent="0.25">
      <c r="A28" s="661"/>
      <c r="B28" s="664"/>
      <c r="C28" s="33" t="s">
        <v>29</v>
      </c>
      <c r="D28" s="519">
        <f t="array" ref="D28">SUM(G28:R28*(MOD(COLUMN(G28:R28),3)=1))</f>
        <v>0</v>
      </c>
      <c r="E28" s="520">
        <f t="array" ref="E28">SUM(G28:R28*(MOD(COLUMN(G28:R28),3)=2))</f>
        <v>0</v>
      </c>
      <c r="F28" s="521">
        <f t="array" ref="F28">SUM(G28:R28*(MOD(COLUMN(G28:R28),3)=0))</f>
        <v>0</v>
      </c>
      <c r="G28" s="470"/>
      <c r="H28" s="470"/>
      <c r="I28" s="362">
        <f t="shared" si="9"/>
        <v>0</v>
      </c>
      <c r="J28" s="470"/>
      <c r="K28" s="470"/>
      <c r="L28" s="362">
        <f t="shared" si="10"/>
        <v>0</v>
      </c>
      <c r="M28" s="493">
        <v>0</v>
      </c>
      <c r="N28" s="296">
        <f>ABS(Faktory!$D$38*O48)</f>
        <v>0</v>
      </c>
      <c r="O28" s="362">
        <f t="shared" si="11"/>
        <v>0</v>
      </c>
      <c r="P28" s="493">
        <v>0</v>
      </c>
      <c r="Q28" s="296">
        <f>ABS(Faktory!$D$35*R48)</f>
        <v>0</v>
      </c>
      <c r="R28" s="373">
        <f t="shared" si="12"/>
        <v>0</v>
      </c>
    </row>
    <row r="29" spans="1:18" s="11" customFormat="1" x14ac:dyDescent="0.25">
      <c r="A29" s="661"/>
      <c r="B29" s="664"/>
      <c r="C29" s="33" t="s">
        <v>30</v>
      </c>
      <c r="D29" s="519">
        <f t="array" ref="D29">SUM(G29:R29*(MOD(COLUMN(G29:R29),3)=1))</f>
        <v>0</v>
      </c>
      <c r="E29" s="520">
        <f t="array" ref="E29">SUM(G29:R29*(MOD(COLUMN(G29:R29),3)=2))</f>
        <v>0</v>
      </c>
      <c r="F29" s="521">
        <f t="array" ref="F29">SUM(G29:R29*(MOD(COLUMN(G29:R29),3)=0))</f>
        <v>0</v>
      </c>
      <c r="G29" s="470"/>
      <c r="H29" s="470"/>
      <c r="I29" s="362">
        <f t="shared" si="9"/>
        <v>0</v>
      </c>
      <c r="J29" s="470"/>
      <c r="K29" s="470"/>
      <c r="L29" s="362">
        <f t="shared" si="10"/>
        <v>0</v>
      </c>
      <c r="M29" s="493">
        <v>0</v>
      </c>
      <c r="N29" s="296">
        <f>ABS(Faktory!$D$38*O49)</f>
        <v>0</v>
      </c>
      <c r="O29" s="362">
        <f t="shared" si="11"/>
        <v>0</v>
      </c>
      <c r="P29" s="493">
        <v>0</v>
      </c>
      <c r="Q29" s="296">
        <f>ABS(Faktory!$D$35*R49)</f>
        <v>0</v>
      </c>
      <c r="R29" s="373">
        <f t="shared" si="12"/>
        <v>0</v>
      </c>
    </row>
    <row r="30" spans="1:18" s="11" customFormat="1" x14ac:dyDescent="0.25">
      <c r="A30" s="661"/>
      <c r="B30" s="664"/>
      <c r="C30" s="33" t="s">
        <v>31</v>
      </c>
      <c r="D30" s="519">
        <f t="array" ref="D30">SUM(G30:R30*(MOD(COLUMN(G30:R30),3)=1))</f>
        <v>0</v>
      </c>
      <c r="E30" s="520">
        <f t="array" ref="E30">SUM(G30:R30*(MOD(COLUMN(G30:R30),3)=2))</f>
        <v>0</v>
      </c>
      <c r="F30" s="521">
        <f t="array" ref="F30">SUM(G30:R30*(MOD(COLUMN(G30:R30),3)=0))</f>
        <v>0</v>
      </c>
      <c r="G30" s="470"/>
      <c r="H30" s="470"/>
      <c r="I30" s="362">
        <f t="shared" si="9"/>
        <v>0</v>
      </c>
      <c r="J30" s="470"/>
      <c r="K30" s="470"/>
      <c r="L30" s="362">
        <f t="shared" si="10"/>
        <v>0</v>
      </c>
      <c r="M30" s="493">
        <v>0</v>
      </c>
      <c r="N30" s="296">
        <f>ABS(Faktory!$D$38*O50)</f>
        <v>0</v>
      </c>
      <c r="O30" s="362">
        <f t="shared" si="11"/>
        <v>0</v>
      </c>
      <c r="P30" s="493">
        <v>0</v>
      </c>
      <c r="Q30" s="296">
        <f>ABS(Faktory!$D$35*R50)</f>
        <v>0</v>
      </c>
      <c r="R30" s="373">
        <f t="shared" si="12"/>
        <v>0</v>
      </c>
    </row>
    <row r="31" spans="1:18" s="11" customFormat="1" x14ac:dyDescent="0.25">
      <c r="A31" s="661"/>
      <c r="B31" s="664"/>
      <c r="C31" s="33" t="s">
        <v>32</v>
      </c>
      <c r="D31" s="519">
        <f t="array" ref="D31">SUM(G31:R31*(MOD(COLUMN(G31:R31),3)=1))</f>
        <v>0</v>
      </c>
      <c r="E31" s="520">
        <f t="array" ref="E31">SUM(G31:R31*(MOD(COLUMN(G31:R31),3)=2))</f>
        <v>0</v>
      </c>
      <c r="F31" s="521">
        <f t="array" ref="F31">SUM(G31:R31*(MOD(COLUMN(G31:R31),3)=0))</f>
        <v>0</v>
      </c>
      <c r="G31" s="470"/>
      <c r="H31" s="470"/>
      <c r="I31" s="362">
        <f t="shared" si="9"/>
        <v>0</v>
      </c>
      <c r="J31" s="470"/>
      <c r="K31" s="470"/>
      <c r="L31" s="362">
        <f t="shared" si="10"/>
        <v>0</v>
      </c>
      <c r="M31" s="493">
        <v>0</v>
      </c>
      <c r="N31" s="296">
        <f>ABS(Faktory!$D$38*O51)</f>
        <v>0</v>
      </c>
      <c r="O31" s="362">
        <f t="shared" si="11"/>
        <v>0</v>
      </c>
      <c r="P31" s="493">
        <v>0</v>
      </c>
      <c r="Q31" s="296">
        <f>ABS(Faktory!$D$35*R51)</f>
        <v>0</v>
      </c>
      <c r="R31" s="373">
        <f t="shared" si="12"/>
        <v>0</v>
      </c>
    </row>
    <row r="32" spans="1:18" s="11" customFormat="1" x14ac:dyDescent="0.25">
      <c r="A32" s="661"/>
      <c r="B32" s="664"/>
      <c r="C32" s="33" t="s">
        <v>33</v>
      </c>
      <c r="D32" s="519">
        <f t="array" ref="D32">SUM(G32:R32*(MOD(COLUMN(G32:R32),3)=1))</f>
        <v>0</v>
      </c>
      <c r="E32" s="520">
        <f t="array" ref="E32">SUM(G32:R32*(MOD(COLUMN(G32:R32),3)=2))</f>
        <v>0</v>
      </c>
      <c r="F32" s="521">
        <f t="array" ref="F32">SUM(G32:R32*(MOD(COLUMN(G32:R32),3)=0))</f>
        <v>0</v>
      </c>
      <c r="G32" s="470"/>
      <c r="H32" s="470"/>
      <c r="I32" s="362">
        <f t="shared" si="9"/>
        <v>0</v>
      </c>
      <c r="J32" s="470"/>
      <c r="K32" s="470"/>
      <c r="L32" s="362">
        <f t="shared" si="10"/>
        <v>0</v>
      </c>
      <c r="M32" s="493">
        <v>0</v>
      </c>
      <c r="N32" s="296">
        <f>ABS(Faktory!$D$38*O52)</f>
        <v>0</v>
      </c>
      <c r="O32" s="362">
        <f t="shared" si="11"/>
        <v>0</v>
      </c>
      <c r="P32" s="493">
        <v>0</v>
      </c>
      <c r="Q32" s="296">
        <f>ABS(Faktory!$D$35*R52)</f>
        <v>0</v>
      </c>
      <c r="R32" s="373">
        <f t="shared" si="12"/>
        <v>0</v>
      </c>
    </row>
    <row r="33" spans="1:19" s="11" customFormat="1" x14ac:dyDescent="0.25">
      <c r="A33" s="661"/>
      <c r="B33" s="664"/>
      <c r="C33" s="33" t="s">
        <v>34</v>
      </c>
      <c r="D33" s="519">
        <f t="array" ref="D33">SUM(G33:R33*(MOD(COLUMN(G33:R33),3)=1))</f>
        <v>0</v>
      </c>
      <c r="E33" s="520">
        <f t="array" ref="E33">SUM(G33:R33*(MOD(COLUMN(G33:R33),3)=2))</f>
        <v>0</v>
      </c>
      <c r="F33" s="521">
        <f t="array" ref="F33">SUM(G33:R33*(MOD(COLUMN(G33:R33),3)=0))</f>
        <v>0</v>
      </c>
      <c r="G33" s="470"/>
      <c r="H33" s="470"/>
      <c r="I33" s="362">
        <f t="shared" si="9"/>
        <v>0</v>
      </c>
      <c r="J33" s="470"/>
      <c r="K33" s="470"/>
      <c r="L33" s="362">
        <f t="shared" si="10"/>
        <v>0</v>
      </c>
      <c r="M33" s="493">
        <v>0</v>
      </c>
      <c r="N33" s="296">
        <f>ABS(Faktory!$D$38*O53)</f>
        <v>0</v>
      </c>
      <c r="O33" s="362">
        <f t="shared" si="11"/>
        <v>0</v>
      </c>
      <c r="P33" s="493">
        <v>0</v>
      </c>
      <c r="Q33" s="296">
        <f>ABS(Faktory!$D$35*R53)</f>
        <v>0</v>
      </c>
      <c r="R33" s="373">
        <f t="shared" si="12"/>
        <v>0</v>
      </c>
    </row>
    <row r="34" spans="1:19" s="11" customFormat="1" ht="15.75" thickBot="1" x14ac:dyDescent="0.3">
      <c r="A34" s="662"/>
      <c r="B34" s="665"/>
      <c r="C34" s="47" t="s">
        <v>35</v>
      </c>
      <c r="D34" s="519">
        <f t="array" ref="D34">SUM(G34:R34*(MOD(COLUMN(G34:R34),3)=1))</f>
        <v>0</v>
      </c>
      <c r="E34" s="520">
        <f t="array" ref="E34">SUM(G34:R34*(MOD(COLUMN(G34:R34),3)=2))</f>
        <v>0</v>
      </c>
      <c r="F34" s="521">
        <f t="array" ref="F34">SUM(G34:R34*(MOD(COLUMN(G34:R34),3)=0))</f>
        <v>0</v>
      </c>
      <c r="G34" s="470"/>
      <c r="H34" s="470"/>
      <c r="I34" s="363">
        <f t="shared" si="9"/>
        <v>0</v>
      </c>
      <c r="J34" s="470"/>
      <c r="K34" s="470"/>
      <c r="L34" s="363">
        <f t="shared" si="10"/>
        <v>0</v>
      </c>
      <c r="M34" s="493">
        <v>0</v>
      </c>
      <c r="N34" s="296">
        <f>ABS(Faktory!$D$38*O54)</f>
        <v>0</v>
      </c>
      <c r="O34" s="363">
        <f t="shared" si="11"/>
        <v>0</v>
      </c>
      <c r="P34" s="493">
        <v>0</v>
      </c>
      <c r="Q34" s="296">
        <f>ABS(Faktory!$D$35*R54)</f>
        <v>0</v>
      </c>
      <c r="R34" s="374">
        <f t="shared" si="12"/>
        <v>0</v>
      </c>
    </row>
    <row r="35" spans="1:19" s="23" customFormat="1" ht="14.45" customHeight="1" x14ac:dyDescent="0.25">
      <c r="A35" s="660" t="s">
        <v>368</v>
      </c>
      <c r="B35" s="663" t="s">
        <v>146</v>
      </c>
      <c r="C35" s="46" t="s">
        <v>26</v>
      </c>
      <c r="D35" s="495">
        <f t="array" ref="D35">SUM(G35:R35*(MOD(COLUMN(G35:R35),3)=1))</f>
        <v>2.1328333333333336</v>
      </c>
      <c r="E35" s="496">
        <f t="array" ref="E35">SUM(G35:R35*(MOD(COLUMN(G35:R35),3)=2))</f>
        <v>2.1328333333333336</v>
      </c>
      <c r="F35" s="497">
        <f t="array" ref="F35">SUM(G35:R35*(MOD(COLUMN(G35:R35),3)=0))</f>
        <v>0</v>
      </c>
      <c r="G35" s="490">
        <f>Faktory!$D$23</f>
        <v>1.9586111111111113</v>
      </c>
      <c r="H35" s="490">
        <f>G35</f>
        <v>1.9586111111111113</v>
      </c>
      <c r="I35" s="361">
        <f t="shared" si="9"/>
        <v>0</v>
      </c>
      <c r="J35" s="490">
        <f>Faktory!$D$52</f>
        <v>0.17422222222222222</v>
      </c>
      <c r="K35" s="490">
        <f>J35</f>
        <v>0.17422222222222222</v>
      </c>
      <c r="L35" s="361">
        <f t="shared" si="10"/>
        <v>0</v>
      </c>
      <c r="M35" s="490"/>
      <c r="N35" s="490"/>
      <c r="O35" s="361">
        <f t="shared" si="11"/>
        <v>0</v>
      </c>
      <c r="P35" s="492"/>
      <c r="Q35" s="295"/>
      <c r="R35" s="372">
        <f t="shared" si="12"/>
        <v>0</v>
      </c>
      <c r="S35" s="462">
        <f>'Analyza citlivosti - AgendovéIS'!N7</f>
        <v>0</v>
      </c>
    </row>
    <row r="36" spans="1:19" s="11" customFormat="1" x14ac:dyDescent="0.25">
      <c r="A36" s="661"/>
      <c r="B36" s="664"/>
      <c r="C36" s="33" t="s">
        <v>27</v>
      </c>
      <c r="D36" s="519">
        <f t="array" ref="D36">SUM(G36:R36*(MOD(COLUMN(G36:R36),3)=1))</f>
        <v>2.1328333333333336</v>
      </c>
      <c r="E36" s="520">
        <f t="array" ref="E36">SUM(G36:R36*(MOD(COLUMN(G36:R36),3)=2))</f>
        <v>2.1328333333333336</v>
      </c>
      <c r="F36" s="521">
        <f t="array" ref="F36">SUM(G36:R36*(MOD(COLUMN(G36:R36),3)=0))</f>
        <v>0</v>
      </c>
      <c r="G36" s="491">
        <f>Faktory!$D$23</f>
        <v>1.9586111111111113</v>
      </c>
      <c r="H36" s="491">
        <f>G36</f>
        <v>1.9586111111111113</v>
      </c>
      <c r="I36" s="362">
        <f t="shared" si="9"/>
        <v>0</v>
      </c>
      <c r="J36" s="491">
        <f>Faktory!$D$52</f>
        <v>0.17422222222222222</v>
      </c>
      <c r="K36" s="491">
        <f>J36</f>
        <v>0.17422222222222222</v>
      </c>
      <c r="L36" s="362">
        <f t="shared" si="10"/>
        <v>0</v>
      </c>
      <c r="M36" s="491"/>
      <c r="N36" s="491"/>
      <c r="O36" s="362">
        <f t="shared" si="11"/>
        <v>0</v>
      </c>
      <c r="P36" s="493"/>
      <c r="Q36" s="296"/>
      <c r="R36" s="373">
        <f t="shared" si="12"/>
        <v>0</v>
      </c>
    </row>
    <row r="37" spans="1:19" s="11" customFormat="1" x14ac:dyDescent="0.25">
      <c r="A37" s="661"/>
      <c r="B37" s="664"/>
      <c r="C37" s="33" t="s">
        <v>28</v>
      </c>
      <c r="D37" s="519">
        <f t="array" ref="D37">SUM(G37:R37*(MOD(COLUMN(G37:R37),3)=1))</f>
        <v>2.1328333333333336</v>
      </c>
      <c r="E37" s="520">
        <f t="array" ref="E37">SUM(G37:R37*(MOD(COLUMN(G37:R37),3)=2))</f>
        <v>0.17422222222222222</v>
      </c>
      <c r="F37" s="521">
        <f t="array" ref="F37">SUM(G37:R37*(MOD(COLUMN(G37:R37),3)=0))</f>
        <v>-1.9586111111111113</v>
      </c>
      <c r="G37" s="491">
        <f>Faktory!$D$23</f>
        <v>1.9586111111111113</v>
      </c>
      <c r="H37" s="491"/>
      <c r="I37" s="362">
        <f t="shared" si="9"/>
        <v>-1.9586111111111113</v>
      </c>
      <c r="J37" s="491">
        <f>Faktory!$D$52</f>
        <v>0.17422222222222222</v>
      </c>
      <c r="K37" s="491">
        <f t="shared" ref="K37:K44" si="13">J37</f>
        <v>0.17422222222222222</v>
      </c>
      <c r="L37" s="362">
        <f t="shared" si="10"/>
        <v>0</v>
      </c>
      <c r="M37" s="491"/>
      <c r="N37" s="491"/>
      <c r="O37" s="362">
        <f t="shared" si="11"/>
        <v>0</v>
      </c>
      <c r="P37" s="493"/>
      <c r="Q37" s="296"/>
      <c r="R37" s="373">
        <f t="shared" si="12"/>
        <v>0</v>
      </c>
    </row>
    <row r="38" spans="1:19" s="11" customFormat="1" x14ac:dyDescent="0.25">
      <c r="A38" s="661"/>
      <c r="B38" s="664"/>
      <c r="C38" s="33" t="s">
        <v>29</v>
      </c>
      <c r="D38" s="519">
        <f t="array" ref="D38">SUM(G38:R38*(MOD(COLUMN(G38:R38),3)=1))</f>
        <v>2.1328333333333336</v>
      </c>
      <c r="E38" s="520">
        <f t="array" ref="E38">SUM(G38:R38*(MOD(COLUMN(G38:R38),3)=2))</f>
        <v>0.17422222222222222</v>
      </c>
      <c r="F38" s="521">
        <f t="array" ref="F38">SUM(G38:R38*(MOD(COLUMN(G38:R38),3)=0))</f>
        <v>-1.9586111111111113</v>
      </c>
      <c r="G38" s="491">
        <f>Faktory!$D$23</f>
        <v>1.9586111111111113</v>
      </c>
      <c r="H38" s="491"/>
      <c r="I38" s="362">
        <f t="shared" si="9"/>
        <v>-1.9586111111111113</v>
      </c>
      <c r="J38" s="491">
        <f>Faktory!$D$52</f>
        <v>0.17422222222222222</v>
      </c>
      <c r="K38" s="491">
        <f t="shared" si="13"/>
        <v>0.17422222222222222</v>
      </c>
      <c r="L38" s="362">
        <f t="shared" si="10"/>
        <v>0</v>
      </c>
      <c r="M38" s="491"/>
      <c r="N38" s="491"/>
      <c r="O38" s="362">
        <f t="shared" si="11"/>
        <v>0</v>
      </c>
      <c r="P38" s="493"/>
      <c r="Q38" s="296"/>
      <c r="R38" s="373">
        <f t="shared" si="12"/>
        <v>0</v>
      </c>
    </row>
    <row r="39" spans="1:19" s="11" customFormat="1" x14ac:dyDescent="0.25">
      <c r="A39" s="661"/>
      <c r="B39" s="664"/>
      <c r="C39" s="33" t="s">
        <v>30</v>
      </c>
      <c r="D39" s="519">
        <f t="array" ref="D39">SUM(G39:R39*(MOD(COLUMN(G39:R39),3)=1))</f>
        <v>2.1328333333333336</v>
      </c>
      <c r="E39" s="520">
        <f t="array" ref="E39">SUM(G39:R39*(MOD(COLUMN(G39:R39),3)=2))</f>
        <v>0.17422222222222222</v>
      </c>
      <c r="F39" s="521">
        <f t="array" ref="F39">SUM(G39:R39*(MOD(COLUMN(G39:R39),3)=0))</f>
        <v>-1.9586111111111113</v>
      </c>
      <c r="G39" s="491">
        <f>Faktory!$D$23</f>
        <v>1.9586111111111113</v>
      </c>
      <c r="H39" s="491"/>
      <c r="I39" s="362">
        <f t="shared" si="9"/>
        <v>-1.9586111111111113</v>
      </c>
      <c r="J39" s="491">
        <f>Faktory!$D$52</f>
        <v>0.17422222222222222</v>
      </c>
      <c r="K39" s="491">
        <f t="shared" si="13"/>
        <v>0.17422222222222222</v>
      </c>
      <c r="L39" s="362">
        <f t="shared" si="10"/>
        <v>0</v>
      </c>
      <c r="M39" s="491"/>
      <c r="N39" s="491"/>
      <c r="O39" s="362">
        <f t="shared" si="11"/>
        <v>0</v>
      </c>
      <c r="P39" s="493"/>
      <c r="Q39" s="296"/>
      <c r="R39" s="373">
        <f t="shared" si="12"/>
        <v>0</v>
      </c>
    </row>
    <row r="40" spans="1:19" s="11" customFormat="1" x14ac:dyDescent="0.25">
      <c r="A40" s="661"/>
      <c r="B40" s="664"/>
      <c r="C40" s="33" t="s">
        <v>31</v>
      </c>
      <c r="D40" s="519">
        <f t="array" ref="D40">SUM(G40:R40*(MOD(COLUMN(G40:R40),3)=1))</f>
        <v>2.1328333333333336</v>
      </c>
      <c r="E40" s="520">
        <f t="array" ref="E40">SUM(G40:R40*(MOD(COLUMN(G40:R40),3)=2))</f>
        <v>0.17422222222222222</v>
      </c>
      <c r="F40" s="521">
        <f t="array" ref="F40">SUM(G40:R40*(MOD(COLUMN(G40:R40),3)=0))</f>
        <v>-1.9586111111111113</v>
      </c>
      <c r="G40" s="491">
        <f>Faktory!$D$23</f>
        <v>1.9586111111111113</v>
      </c>
      <c r="H40" s="491"/>
      <c r="I40" s="362">
        <f t="shared" si="9"/>
        <v>-1.9586111111111113</v>
      </c>
      <c r="J40" s="491">
        <f>Faktory!$D$52</f>
        <v>0.17422222222222222</v>
      </c>
      <c r="K40" s="491">
        <f t="shared" si="13"/>
        <v>0.17422222222222222</v>
      </c>
      <c r="L40" s="362">
        <f t="shared" si="10"/>
        <v>0</v>
      </c>
      <c r="M40" s="491"/>
      <c r="N40" s="491"/>
      <c r="O40" s="362">
        <f t="shared" si="11"/>
        <v>0</v>
      </c>
      <c r="P40" s="493"/>
      <c r="Q40" s="296"/>
      <c r="R40" s="373">
        <f t="shared" si="12"/>
        <v>0</v>
      </c>
    </row>
    <row r="41" spans="1:19" s="11" customFormat="1" x14ac:dyDescent="0.25">
      <c r="A41" s="661"/>
      <c r="B41" s="664"/>
      <c r="C41" s="33" t="s">
        <v>32</v>
      </c>
      <c r="D41" s="519">
        <f t="array" ref="D41">SUM(G41:R41*(MOD(COLUMN(G41:R41),3)=1))</f>
        <v>2.1328333333333336</v>
      </c>
      <c r="E41" s="520">
        <f t="array" ref="E41">SUM(G41:R41*(MOD(COLUMN(G41:R41),3)=2))</f>
        <v>0.17422222222222222</v>
      </c>
      <c r="F41" s="521">
        <f t="array" ref="F41">SUM(G41:R41*(MOD(COLUMN(G41:R41),3)=0))</f>
        <v>-1.9586111111111113</v>
      </c>
      <c r="G41" s="491">
        <f>Faktory!$D$23</f>
        <v>1.9586111111111113</v>
      </c>
      <c r="H41" s="491"/>
      <c r="I41" s="362">
        <f t="shared" si="9"/>
        <v>-1.9586111111111113</v>
      </c>
      <c r="J41" s="491">
        <f>Faktory!$D$52</f>
        <v>0.17422222222222222</v>
      </c>
      <c r="K41" s="491">
        <f t="shared" si="13"/>
        <v>0.17422222222222222</v>
      </c>
      <c r="L41" s="362">
        <f t="shared" si="10"/>
        <v>0</v>
      </c>
      <c r="M41" s="491"/>
      <c r="N41" s="491"/>
      <c r="O41" s="362">
        <f t="shared" si="11"/>
        <v>0</v>
      </c>
      <c r="P41" s="493"/>
      <c r="Q41" s="296"/>
      <c r="R41" s="373">
        <f t="shared" si="12"/>
        <v>0</v>
      </c>
    </row>
    <row r="42" spans="1:19" s="11" customFormat="1" x14ac:dyDescent="0.25">
      <c r="A42" s="661"/>
      <c r="B42" s="664"/>
      <c r="C42" s="33" t="s">
        <v>33</v>
      </c>
      <c r="D42" s="519">
        <f t="array" ref="D42">SUM(G42:R42*(MOD(COLUMN(G42:R42),3)=1))</f>
        <v>2.1328333333333336</v>
      </c>
      <c r="E42" s="520">
        <f t="array" ref="E42">SUM(G42:R42*(MOD(COLUMN(G42:R42),3)=2))</f>
        <v>0.17422222222222222</v>
      </c>
      <c r="F42" s="521">
        <f t="array" ref="F42">SUM(G42:R42*(MOD(COLUMN(G42:R42),3)=0))</f>
        <v>-1.9586111111111113</v>
      </c>
      <c r="G42" s="491">
        <f>Faktory!$D$23</f>
        <v>1.9586111111111113</v>
      </c>
      <c r="H42" s="491"/>
      <c r="I42" s="362">
        <f t="shared" si="9"/>
        <v>-1.9586111111111113</v>
      </c>
      <c r="J42" s="491">
        <f>Faktory!$D$52</f>
        <v>0.17422222222222222</v>
      </c>
      <c r="K42" s="491">
        <f t="shared" si="13"/>
        <v>0.17422222222222222</v>
      </c>
      <c r="L42" s="362">
        <f t="shared" si="10"/>
        <v>0</v>
      </c>
      <c r="M42" s="491"/>
      <c r="N42" s="491"/>
      <c r="O42" s="362">
        <f t="shared" si="11"/>
        <v>0</v>
      </c>
      <c r="P42" s="493"/>
      <c r="Q42" s="296"/>
      <c r="R42" s="373">
        <f t="shared" si="12"/>
        <v>0</v>
      </c>
    </row>
    <row r="43" spans="1:19" s="11" customFormat="1" x14ac:dyDescent="0.25">
      <c r="A43" s="661"/>
      <c r="B43" s="664"/>
      <c r="C43" s="33" t="s">
        <v>34</v>
      </c>
      <c r="D43" s="519">
        <f t="array" ref="D43">SUM(G43:R43*(MOD(COLUMN(G43:R43),3)=1))</f>
        <v>2.1328333333333336</v>
      </c>
      <c r="E43" s="520">
        <f t="array" ref="E43">SUM(G43:R43*(MOD(COLUMN(G43:R43),3)=2))</f>
        <v>0.17422222222222222</v>
      </c>
      <c r="F43" s="521">
        <f t="array" ref="F43">SUM(G43:R43*(MOD(COLUMN(G43:R43),3)=0))</f>
        <v>-1.9586111111111113</v>
      </c>
      <c r="G43" s="491">
        <f>Faktory!$D$23</f>
        <v>1.9586111111111113</v>
      </c>
      <c r="H43" s="491"/>
      <c r="I43" s="362">
        <f t="shared" si="9"/>
        <v>-1.9586111111111113</v>
      </c>
      <c r="J43" s="491">
        <f>Faktory!$D$52</f>
        <v>0.17422222222222222</v>
      </c>
      <c r="K43" s="491">
        <f t="shared" si="13"/>
        <v>0.17422222222222222</v>
      </c>
      <c r="L43" s="362">
        <f t="shared" si="10"/>
        <v>0</v>
      </c>
      <c r="M43" s="491"/>
      <c r="N43" s="491"/>
      <c r="O43" s="362">
        <f t="shared" si="11"/>
        <v>0</v>
      </c>
      <c r="P43" s="493"/>
      <c r="Q43" s="296"/>
      <c r="R43" s="373">
        <f t="shared" si="12"/>
        <v>0</v>
      </c>
    </row>
    <row r="44" spans="1:19" s="11" customFormat="1" ht="15.75" thickBot="1" x14ac:dyDescent="0.3">
      <c r="A44" s="662"/>
      <c r="B44" s="665"/>
      <c r="C44" s="47" t="s">
        <v>35</v>
      </c>
      <c r="D44" s="519">
        <f t="array" ref="D44">SUM(G44:R44*(MOD(COLUMN(G44:R44),3)=1))</f>
        <v>2.1328333333333336</v>
      </c>
      <c r="E44" s="520">
        <f t="array" ref="E44">SUM(G44:R44*(MOD(COLUMN(G44:R44),3)=2))</f>
        <v>0.17422222222222222</v>
      </c>
      <c r="F44" s="521">
        <f t="array" ref="F44">SUM(G44:R44*(MOD(COLUMN(G44:R44),3)=0))</f>
        <v>-1.9586111111111113</v>
      </c>
      <c r="G44" s="491">
        <f>Faktory!$D$23</f>
        <v>1.9586111111111113</v>
      </c>
      <c r="H44" s="491"/>
      <c r="I44" s="363">
        <f>H44-G44</f>
        <v>-1.9586111111111113</v>
      </c>
      <c r="J44" s="491">
        <f>Faktory!$D$52</f>
        <v>0.17422222222222222</v>
      </c>
      <c r="K44" s="491">
        <f t="shared" si="13"/>
        <v>0.17422222222222222</v>
      </c>
      <c r="L44" s="363">
        <f>K44-J44</f>
        <v>0</v>
      </c>
      <c r="M44" s="491"/>
      <c r="N44" s="491"/>
      <c r="O44" s="363">
        <f>N44-M44</f>
        <v>0</v>
      </c>
      <c r="P44" s="494"/>
      <c r="Q44" s="296"/>
      <c r="R44" s="374">
        <f>Q44-P44</f>
        <v>0</v>
      </c>
    </row>
    <row r="45" spans="1:19" s="23" customFormat="1" ht="14.45" customHeight="1" x14ac:dyDescent="0.25">
      <c r="A45" s="660" t="s">
        <v>390</v>
      </c>
      <c r="B45" s="663" t="s">
        <v>391</v>
      </c>
      <c r="C45" s="46" t="s">
        <v>26</v>
      </c>
      <c r="D45" s="302">
        <f t="array" ref="D45">SUM(G45:R45*(MOD(COLUMN(G45:R45),3)=1))</f>
        <v>195.43333333333334</v>
      </c>
      <c r="E45" s="285">
        <f t="array" ref="E45">SUM(G45:R45*(MOD(COLUMN(G45:R45),3)=2))</f>
        <v>195.43333333333334</v>
      </c>
      <c r="F45" s="303">
        <f t="array" ref="F45">SUM(G45:R45*(MOD(COLUMN(G45:R45),3)=0))</f>
        <v>0</v>
      </c>
      <c r="G45" s="469"/>
      <c r="H45" s="469"/>
      <c r="I45" s="361">
        <f t="shared" ref="I45:I53" si="14">H45-G45</f>
        <v>0</v>
      </c>
      <c r="J45" s="469"/>
      <c r="K45" s="469"/>
      <c r="L45" s="361">
        <f t="shared" ref="L45:L53" si="15">K45-J45</f>
        <v>0</v>
      </c>
      <c r="M45" s="490">
        <f>Faktory!$D$30</f>
        <v>104.63333333333334</v>
      </c>
      <c r="N45" s="490">
        <f>M45</f>
        <v>104.63333333333334</v>
      </c>
      <c r="O45" s="361">
        <f t="shared" ref="O45:O53" si="16">N45-M45</f>
        <v>0</v>
      </c>
      <c r="P45" s="469">
        <f>Faktory!$D$32</f>
        <v>90.8</v>
      </c>
      <c r="Q45" s="469">
        <f>P45</f>
        <v>90.8</v>
      </c>
      <c r="R45" s="372">
        <f t="shared" si="12"/>
        <v>0</v>
      </c>
      <c r="S45" s="462">
        <f>'Analyza citlivosti - AgendovéIS'!Q7</f>
        <v>0</v>
      </c>
    </row>
    <row r="46" spans="1:19" s="11" customFormat="1" x14ac:dyDescent="0.25">
      <c r="A46" s="661"/>
      <c r="B46" s="664"/>
      <c r="C46" s="33" t="s">
        <v>27</v>
      </c>
      <c r="D46" s="522">
        <f t="array" ref="D46">SUM(G46:R46*(MOD(COLUMN(G46:R46),3)=1))</f>
        <v>195.43333333333334</v>
      </c>
      <c r="E46" s="523">
        <f t="array" ref="E46">SUM(G46:R46*(MOD(COLUMN(G46:R46),3)=2))</f>
        <v>195.43333333333334</v>
      </c>
      <c r="F46" s="524">
        <f t="array" ref="F46">SUM(G46:R46*(MOD(COLUMN(G46:R46),3)=0))</f>
        <v>0</v>
      </c>
      <c r="G46" s="470"/>
      <c r="H46" s="470"/>
      <c r="I46" s="362">
        <f t="shared" si="14"/>
        <v>0</v>
      </c>
      <c r="J46" s="470"/>
      <c r="K46" s="470"/>
      <c r="L46" s="362">
        <f t="shared" si="15"/>
        <v>0</v>
      </c>
      <c r="M46" s="491">
        <f>Faktory!$D$30</f>
        <v>104.63333333333334</v>
      </c>
      <c r="N46" s="491">
        <f>M46</f>
        <v>104.63333333333334</v>
      </c>
      <c r="O46" s="362">
        <f t="shared" si="16"/>
        <v>0</v>
      </c>
      <c r="P46" s="470">
        <f>Faktory!$D$32</f>
        <v>90.8</v>
      </c>
      <c r="Q46" s="470">
        <f>P46</f>
        <v>90.8</v>
      </c>
      <c r="R46" s="373">
        <f t="shared" si="12"/>
        <v>0</v>
      </c>
    </row>
    <row r="47" spans="1:19" s="11" customFormat="1" x14ac:dyDescent="0.25">
      <c r="A47" s="661"/>
      <c r="B47" s="664"/>
      <c r="C47" s="33" t="s">
        <v>28</v>
      </c>
      <c r="D47" s="522">
        <f t="array" ref="D47">SUM(G47:R47*(MOD(COLUMN(G47:R47),3)=1))</f>
        <v>195.43333333333334</v>
      </c>
      <c r="E47" s="523">
        <f t="array" ref="E47">SUM(G47:R47*(MOD(COLUMN(G47:R47),3)=2))</f>
        <v>195.43333333333334</v>
      </c>
      <c r="F47" s="524">
        <f t="array" ref="F47">SUM(G47:R47*(MOD(COLUMN(G47:R47),3)=0))</f>
        <v>0</v>
      </c>
      <c r="G47" s="470"/>
      <c r="H47" s="470"/>
      <c r="I47" s="362">
        <f t="shared" si="14"/>
        <v>0</v>
      </c>
      <c r="J47" s="470"/>
      <c r="K47" s="470"/>
      <c r="L47" s="362">
        <f t="shared" si="15"/>
        <v>0</v>
      </c>
      <c r="M47" s="491">
        <f>Faktory!$D$30</f>
        <v>104.63333333333334</v>
      </c>
      <c r="N47" s="491">
        <f>Faktory!$D$31</f>
        <v>104.63333333333334</v>
      </c>
      <c r="O47" s="362">
        <f t="shared" si="16"/>
        <v>0</v>
      </c>
      <c r="P47" s="470">
        <f>Faktory!$D$32</f>
        <v>90.8</v>
      </c>
      <c r="Q47" s="470">
        <f>Faktory!$D$33</f>
        <v>90.8</v>
      </c>
      <c r="R47" s="373">
        <f t="shared" si="12"/>
        <v>0</v>
      </c>
    </row>
    <row r="48" spans="1:19" s="11" customFormat="1" x14ac:dyDescent="0.25">
      <c r="A48" s="661"/>
      <c r="B48" s="664"/>
      <c r="C48" s="33" t="s">
        <v>29</v>
      </c>
      <c r="D48" s="522">
        <f t="array" ref="D48">SUM(G48:R48*(MOD(COLUMN(G48:R48),3)=1))</f>
        <v>195.43333333333334</v>
      </c>
      <c r="E48" s="523">
        <f t="array" ref="E48">SUM(G48:R48*(MOD(COLUMN(G48:R48),3)=2))</f>
        <v>195.43333333333334</v>
      </c>
      <c r="F48" s="524">
        <f t="array" ref="F48">SUM(G48:R48*(MOD(COLUMN(G48:R48),3)=0))</f>
        <v>0</v>
      </c>
      <c r="G48" s="470"/>
      <c r="H48" s="470"/>
      <c r="I48" s="362">
        <f t="shared" si="14"/>
        <v>0</v>
      </c>
      <c r="J48" s="470"/>
      <c r="K48" s="470"/>
      <c r="L48" s="362">
        <f t="shared" si="15"/>
        <v>0</v>
      </c>
      <c r="M48" s="491">
        <f>Faktory!$D$30</f>
        <v>104.63333333333334</v>
      </c>
      <c r="N48" s="491">
        <f>Faktory!$D$31</f>
        <v>104.63333333333334</v>
      </c>
      <c r="O48" s="362">
        <f t="shared" si="16"/>
        <v>0</v>
      </c>
      <c r="P48" s="470">
        <f>Faktory!$D$32</f>
        <v>90.8</v>
      </c>
      <c r="Q48" s="470">
        <f>Faktory!$D$33</f>
        <v>90.8</v>
      </c>
      <c r="R48" s="373">
        <f t="shared" si="12"/>
        <v>0</v>
      </c>
    </row>
    <row r="49" spans="1:18" s="11" customFormat="1" x14ac:dyDescent="0.25">
      <c r="A49" s="661"/>
      <c r="B49" s="664"/>
      <c r="C49" s="33" t="s">
        <v>30</v>
      </c>
      <c r="D49" s="522">
        <f t="array" ref="D49">SUM(G49:R49*(MOD(COLUMN(G49:R49),3)=1))</f>
        <v>195.43333333333334</v>
      </c>
      <c r="E49" s="523">
        <f t="array" ref="E49">SUM(G49:R49*(MOD(COLUMN(G49:R49),3)=2))</f>
        <v>195.43333333333334</v>
      </c>
      <c r="F49" s="524">
        <f t="array" ref="F49">SUM(G49:R49*(MOD(COLUMN(G49:R49),3)=0))</f>
        <v>0</v>
      </c>
      <c r="G49" s="470"/>
      <c r="H49" s="470"/>
      <c r="I49" s="362">
        <f t="shared" si="14"/>
        <v>0</v>
      </c>
      <c r="J49" s="470"/>
      <c r="K49" s="470"/>
      <c r="L49" s="362">
        <f t="shared" si="15"/>
        <v>0</v>
      </c>
      <c r="M49" s="491">
        <f>Faktory!$D$30</f>
        <v>104.63333333333334</v>
      </c>
      <c r="N49" s="491">
        <f>Faktory!$D$31</f>
        <v>104.63333333333334</v>
      </c>
      <c r="O49" s="362">
        <f t="shared" si="16"/>
        <v>0</v>
      </c>
      <c r="P49" s="470">
        <f>Faktory!$D$32</f>
        <v>90.8</v>
      </c>
      <c r="Q49" s="470">
        <f>Faktory!$D$33</f>
        <v>90.8</v>
      </c>
      <c r="R49" s="373">
        <f t="shared" si="12"/>
        <v>0</v>
      </c>
    </row>
    <row r="50" spans="1:18" s="11" customFormat="1" x14ac:dyDescent="0.25">
      <c r="A50" s="661"/>
      <c r="B50" s="664"/>
      <c r="C50" s="33" t="s">
        <v>31</v>
      </c>
      <c r="D50" s="522">
        <f t="array" ref="D50">SUM(G50:R50*(MOD(COLUMN(G50:R50),3)=1))</f>
        <v>195.43333333333334</v>
      </c>
      <c r="E50" s="523">
        <f t="array" ref="E50">SUM(G50:R50*(MOD(COLUMN(G50:R50),3)=2))</f>
        <v>195.43333333333334</v>
      </c>
      <c r="F50" s="524">
        <f t="array" ref="F50">SUM(G50:R50*(MOD(COLUMN(G50:R50),3)=0))</f>
        <v>0</v>
      </c>
      <c r="G50" s="470"/>
      <c r="H50" s="470"/>
      <c r="I50" s="362">
        <f t="shared" si="14"/>
        <v>0</v>
      </c>
      <c r="J50" s="470"/>
      <c r="K50" s="470"/>
      <c r="L50" s="362">
        <f t="shared" si="15"/>
        <v>0</v>
      </c>
      <c r="M50" s="491">
        <f>Faktory!$D$30</f>
        <v>104.63333333333334</v>
      </c>
      <c r="N50" s="491">
        <f>Faktory!$D$31</f>
        <v>104.63333333333334</v>
      </c>
      <c r="O50" s="362">
        <f t="shared" si="16"/>
        <v>0</v>
      </c>
      <c r="P50" s="470">
        <f>Faktory!$D$32</f>
        <v>90.8</v>
      </c>
      <c r="Q50" s="470">
        <f>Faktory!$D$33</f>
        <v>90.8</v>
      </c>
      <c r="R50" s="373">
        <f t="shared" si="12"/>
        <v>0</v>
      </c>
    </row>
    <row r="51" spans="1:18" s="11" customFormat="1" x14ac:dyDescent="0.25">
      <c r="A51" s="661"/>
      <c r="B51" s="664"/>
      <c r="C51" s="33" t="s">
        <v>32</v>
      </c>
      <c r="D51" s="522">
        <f t="array" ref="D51">SUM(G51:R51*(MOD(COLUMN(G51:R51),3)=1))</f>
        <v>195.43333333333334</v>
      </c>
      <c r="E51" s="523">
        <f t="array" ref="E51">SUM(G51:R51*(MOD(COLUMN(G51:R51),3)=2))</f>
        <v>195.43333333333334</v>
      </c>
      <c r="F51" s="524">
        <f t="array" ref="F51">SUM(G51:R51*(MOD(COLUMN(G51:R51),3)=0))</f>
        <v>0</v>
      </c>
      <c r="G51" s="470"/>
      <c r="H51" s="470"/>
      <c r="I51" s="362">
        <f t="shared" si="14"/>
        <v>0</v>
      </c>
      <c r="J51" s="470"/>
      <c r="K51" s="470"/>
      <c r="L51" s="362">
        <f t="shared" si="15"/>
        <v>0</v>
      </c>
      <c r="M51" s="491">
        <f>Faktory!$D$30</f>
        <v>104.63333333333334</v>
      </c>
      <c r="N51" s="491">
        <f>Faktory!$D$31</f>
        <v>104.63333333333334</v>
      </c>
      <c r="O51" s="362">
        <f t="shared" si="16"/>
        <v>0</v>
      </c>
      <c r="P51" s="470">
        <f>Faktory!$D$32</f>
        <v>90.8</v>
      </c>
      <c r="Q51" s="470">
        <f>Faktory!$D$33</f>
        <v>90.8</v>
      </c>
      <c r="R51" s="373">
        <f t="shared" si="12"/>
        <v>0</v>
      </c>
    </row>
    <row r="52" spans="1:18" s="11" customFormat="1" x14ac:dyDescent="0.25">
      <c r="A52" s="661"/>
      <c r="B52" s="664"/>
      <c r="C52" s="33" t="s">
        <v>33</v>
      </c>
      <c r="D52" s="522">
        <f t="array" ref="D52">SUM(G52:R52*(MOD(COLUMN(G52:R52),3)=1))</f>
        <v>195.43333333333334</v>
      </c>
      <c r="E52" s="523">
        <f t="array" ref="E52">SUM(G52:R52*(MOD(COLUMN(G52:R52),3)=2))</f>
        <v>195.43333333333334</v>
      </c>
      <c r="F52" s="524">
        <f t="array" ref="F52">SUM(G52:R52*(MOD(COLUMN(G52:R52),3)=0))</f>
        <v>0</v>
      </c>
      <c r="G52" s="470"/>
      <c r="H52" s="470"/>
      <c r="I52" s="362">
        <f t="shared" si="14"/>
        <v>0</v>
      </c>
      <c r="J52" s="470"/>
      <c r="K52" s="470"/>
      <c r="L52" s="362">
        <f t="shared" si="15"/>
        <v>0</v>
      </c>
      <c r="M52" s="491">
        <f>Faktory!$D$30</f>
        <v>104.63333333333334</v>
      </c>
      <c r="N52" s="491">
        <f>Faktory!$D$31</f>
        <v>104.63333333333334</v>
      </c>
      <c r="O52" s="362">
        <f t="shared" si="16"/>
        <v>0</v>
      </c>
      <c r="P52" s="470">
        <f>Faktory!$D$32</f>
        <v>90.8</v>
      </c>
      <c r="Q52" s="470">
        <f>Faktory!$D$33</f>
        <v>90.8</v>
      </c>
      <c r="R52" s="373">
        <f t="shared" si="12"/>
        <v>0</v>
      </c>
    </row>
    <row r="53" spans="1:18" s="11" customFormat="1" x14ac:dyDescent="0.25">
      <c r="A53" s="661"/>
      <c r="B53" s="664"/>
      <c r="C53" s="33" t="s">
        <v>34</v>
      </c>
      <c r="D53" s="522">
        <f t="array" ref="D53">SUM(G53:R53*(MOD(COLUMN(G53:R53),3)=1))</f>
        <v>195.43333333333334</v>
      </c>
      <c r="E53" s="523">
        <f t="array" ref="E53">SUM(G53:R53*(MOD(COLUMN(G53:R53),3)=2))</f>
        <v>195.43333333333334</v>
      </c>
      <c r="F53" s="524">
        <f t="array" ref="F53">SUM(G53:R53*(MOD(COLUMN(G53:R53),3)=0))</f>
        <v>0</v>
      </c>
      <c r="G53" s="470"/>
      <c r="H53" s="470"/>
      <c r="I53" s="362">
        <f t="shared" si="14"/>
        <v>0</v>
      </c>
      <c r="J53" s="470"/>
      <c r="K53" s="470"/>
      <c r="L53" s="362">
        <f t="shared" si="15"/>
        <v>0</v>
      </c>
      <c r="M53" s="491">
        <f>Faktory!$D$30</f>
        <v>104.63333333333334</v>
      </c>
      <c r="N53" s="491">
        <f>Faktory!$D$31</f>
        <v>104.63333333333334</v>
      </c>
      <c r="O53" s="362">
        <f t="shared" si="16"/>
        <v>0</v>
      </c>
      <c r="P53" s="470">
        <f>Faktory!$D$32</f>
        <v>90.8</v>
      </c>
      <c r="Q53" s="470">
        <f>Faktory!$D$33</f>
        <v>90.8</v>
      </c>
      <c r="R53" s="373">
        <f t="shared" si="12"/>
        <v>0</v>
      </c>
    </row>
    <row r="54" spans="1:18" s="11" customFormat="1" ht="15.75" thickBot="1" x14ac:dyDescent="0.3">
      <c r="A54" s="662"/>
      <c r="B54" s="665"/>
      <c r="C54" s="47" t="s">
        <v>35</v>
      </c>
      <c r="D54" s="522">
        <f t="array" ref="D54">SUM(G54:R54*(MOD(COLUMN(G54:R54),3)=1))</f>
        <v>195.43333333333334</v>
      </c>
      <c r="E54" s="523">
        <f t="array" ref="E54">SUM(G54:R54*(MOD(COLUMN(G54:R54),3)=2))</f>
        <v>195.43333333333334</v>
      </c>
      <c r="F54" s="524">
        <f t="array" ref="F54">SUM(G54:R54*(MOD(COLUMN(G54:R54),3)=0))</f>
        <v>0</v>
      </c>
      <c r="G54" s="470"/>
      <c r="H54" s="470"/>
      <c r="I54" s="363">
        <f>H54-G54</f>
        <v>0</v>
      </c>
      <c r="J54" s="470"/>
      <c r="K54" s="470"/>
      <c r="L54" s="363">
        <f>K54-J54</f>
        <v>0</v>
      </c>
      <c r="M54" s="491">
        <f>Faktory!$D$30</f>
        <v>104.63333333333334</v>
      </c>
      <c r="N54" s="491">
        <f>Faktory!$D$31</f>
        <v>104.63333333333334</v>
      </c>
      <c r="O54" s="363">
        <f>N54-M54</f>
        <v>0</v>
      </c>
      <c r="P54" s="470">
        <f>Faktory!$D$32</f>
        <v>90.8</v>
      </c>
      <c r="Q54" s="470">
        <f>Faktory!$D$33</f>
        <v>90.8</v>
      </c>
      <c r="R54" s="374">
        <f>Q54-P54</f>
        <v>0</v>
      </c>
    </row>
    <row r="55" spans="1:18" s="23" customFormat="1" ht="14.25" customHeight="1" x14ac:dyDescent="0.25">
      <c r="A55" s="661" t="s">
        <v>41</v>
      </c>
      <c r="B55" s="664" t="s">
        <v>12</v>
      </c>
      <c r="C55" s="33" t="s">
        <v>26</v>
      </c>
      <c r="D55" s="302">
        <f t="array" ref="D55">SUM(G55:R55*(MOD(COLUMN(G55:R55),3)=1))</f>
        <v>0</v>
      </c>
      <c r="E55" s="285">
        <f t="array" ref="E55">SUM(G55:R55*(MOD(COLUMN(G55:R55),3)=2))</f>
        <v>0</v>
      </c>
      <c r="F55" s="303">
        <f t="array" ref="F55">SUM(G55:R55*(MOD(COLUMN(G55:R55),3)=0))</f>
        <v>0</v>
      </c>
      <c r="G55" s="299"/>
      <c r="H55" s="286"/>
      <c r="I55" s="358">
        <f t="shared" ref="I55:I64" si="17">H55-G55</f>
        <v>0</v>
      </c>
      <c r="J55" s="299"/>
      <c r="K55" s="286"/>
      <c r="L55" s="358">
        <f t="shared" ref="L55:L64" si="18">K55-J55</f>
        <v>0</v>
      </c>
      <c r="M55" s="286"/>
      <c r="N55" s="286"/>
      <c r="O55" s="358">
        <f t="shared" ref="O55:O64" si="19">N55-M55</f>
        <v>0</v>
      </c>
      <c r="P55" s="286"/>
      <c r="Q55" s="287"/>
      <c r="R55" s="369">
        <f t="shared" ref="R55:R64" si="20">Q55-P55</f>
        <v>0</v>
      </c>
    </row>
    <row r="56" spans="1:18" s="11" customFormat="1" x14ac:dyDescent="0.25">
      <c r="A56" s="661"/>
      <c r="B56" s="664"/>
      <c r="C56" s="33" t="s">
        <v>27</v>
      </c>
      <c r="D56" s="297">
        <f t="array" ref="D56">SUM(G56:R56*(MOD(COLUMN(G56:R56),3)=1))</f>
        <v>0</v>
      </c>
      <c r="E56" s="294">
        <f t="array" ref="E56">SUM(G56:R56*(MOD(COLUMN(G56:R56),3)=2))</f>
        <v>0</v>
      </c>
      <c r="F56" s="298">
        <f t="array" ref="F56">SUM(G56:R56*(MOD(COLUMN(G56:R56),3)=0))</f>
        <v>0</v>
      </c>
      <c r="G56" s="300"/>
      <c r="H56" s="289"/>
      <c r="I56" s="359">
        <f t="shared" si="17"/>
        <v>0</v>
      </c>
      <c r="J56" s="300"/>
      <c r="K56" s="289"/>
      <c r="L56" s="359">
        <f t="shared" si="18"/>
        <v>0</v>
      </c>
      <c r="M56" s="289"/>
      <c r="N56" s="289"/>
      <c r="O56" s="359">
        <f t="shared" si="19"/>
        <v>0</v>
      </c>
      <c r="P56" s="289"/>
      <c r="Q56" s="290"/>
      <c r="R56" s="370">
        <f t="shared" si="20"/>
        <v>0</v>
      </c>
    </row>
    <row r="57" spans="1:18" s="11" customFormat="1" x14ac:dyDescent="0.25">
      <c r="A57" s="661"/>
      <c r="B57" s="664"/>
      <c r="C57" s="33" t="s">
        <v>28</v>
      </c>
      <c r="D57" s="297">
        <f t="array" ref="D57">SUM(G57:R57*(MOD(COLUMN(G57:R57),3)=1))</f>
        <v>0</v>
      </c>
      <c r="E57" s="294">
        <f t="array" ref="E57">SUM(G57:R57*(MOD(COLUMN(G57:R57),3)=2))</f>
        <v>0</v>
      </c>
      <c r="F57" s="298">
        <f t="array" ref="F57">SUM(G57:R57*(MOD(COLUMN(G57:R57),3)=0))</f>
        <v>0</v>
      </c>
      <c r="G57" s="300"/>
      <c r="H57" s="289"/>
      <c r="I57" s="359">
        <f t="shared" si="17"/>
        <v>0</v>
      </c>
      <c r="J57" s="300"/>
      <c r="K57" s="289"/>
      <c r="L57" s="359">
        <f t="shared" si="18"/>
        <v>0</v>
      </c>
      <c r="M57" s="289"/>
      <c r="N57" s="289"/>
      <c r="O57" s="359">
        <f t="shared" si="19"/>
        <v>0</v>
      </c>
      <c r="P57" s="289"/>
      <c r="Q57" s="290"/>
      <c r="R57" s="370">
        <f t="shared" si="20"/>
        <v>0</v>
      </c>
    </row>
    <row r="58" spans="1:18" s="11" customFormat="1" x14ac:dyDescent="0.25">
      <c r="A58" s="661"/>
      <c r="B58" s="664"/>
      <c r="C58" s="33" t="s">
        <v>29</v>
      </c>
      <c r="D58" s="297">
        <f t="array" ref="D58">SUM(G58:R58*(MOD(COLUMN(G58:R58),3)=1))</f>
        <v>0</v>
      </c>
      <c r="E58" s="294">
        <f t="array" ref="E58">SUM(G58:R58*(MOD(COLUMN(G58:R58),3)=2))</f>
        <v>0</v>
      </c>
      <c r="F58" s="298">
        <f t="array" ref="F58">SUM(G58:R58*(MOD(COLUMN(G58:R58),3)=0))</f>
        <v>0</v>
      </c>
      <c r="G58" s="300"/>
      <c r="H58" s="289"/>
      <c r="I58" s="359">
        <f t="shared" si="17"/>
        <v>0</v>
      </c>
      <c r="J58" s="300"/>
      <c r="K58" s="289"/>
      <c r="L58" s="359">
        <f t="shared" si="18"/>
        <v>0</v>
      </c>
      <c r="M58" s="289"/>
      <c r="N58" s="289"/>
      <c r="O58" s="359">
        <f t="shared" si="19"/>
        <v>0</v>
      </c>
      <c r="P58" s="289"/>
      <c r="Q58" s="290"/>
      <c r="R58" s="370">
        <f t="shared" si="20"/>
        <v>0</v>
      </c>
    </row>
    <row r="59" spans="1:18" s="11" customFormat="1" x14ac:dyDescent="0.25">
      <c r="A59" s="661"/>
      <c r="B59" s="664"/>
      <c r="C59" s="33" t="s">
        <v>30</v>
      </c>
      <c r="D59" s="297">
        <f t="array" ref="D59">SUM(G59:R59*(MOD(COLUMN(G59:R59),3)=1))</f>
        <v>0</v>
      </c>
      <c r="E59" s="294">
        <f t="array" ref="E59">SUM(G59:R59*(MOD(COLUMN(G59:R59),3)=2))</f>
        <v>0</v>
      </c>
      <c r="F59" s="298">
        <f t="array" ref="F59">SUM(G59:R59*(MOD(COLUMN(G59:R59),3)=0))</f>
        <v>0</v>
      </c>
      <c r="G59" s="300"/>
      <c r="H59" s="289"/>
      <c r="I59" s="359">
        <f t="shared" si="17"/>
        <v>0</v>
      </c>
      <c r="J59" s="300"/>
      <c r="K59" s="289"/>
      <c r="L59" s="359">
        <f t="shared" si="18"/>
        <v>0</v>
      </c>
      <c r="M59" s="289"/>
      <c r="N59" s="289"/>
      <c r="O59" s="359">
        <f t="shared" si="19"/>
        <v>0</v>
      </c>
      <c r="P59" s="289"/>
      <c r="Q59" s="290"/>
      <c r="R59" s="370">
        <f t="shared" si="20"/>
        <v>0</v>
      </c>
    </row>
    <row r="60" spans="1:18" s="11" customFormat="1" x14ac:dyDescent="0.25">
      <c r="A60" s="661"/>
      <c r="B60" s="664"/>
      <c r="C60" s="33" t="s">
        <v>31</v>
      </c>
      <c r="D60" s="297">
        <f t="array" ref="D60">SUM(G60:R60*(MOD(COLUMN(G60:R60),3)=1))</f>
        <v>0</v>
      </c>
      <c r="E60" s="294">
        <f t="array" ref="E60">SUM(G60:R60*(MOD(COLUMN(G60:R60),3)=2))</f>
        <v>0</v>
      </c>
      <c r="F60" s="298">
        <f t="array" ref="F60">SUM(G60:R60*(MOD(COLUMN(G60:R60),3)=0))</f>
        <v>0</v>
      </c>
      <c r="G60" s="300"/>
      <c r="H60" s="289"/>
      <c r="I60" s="359">
        <f t="shared" si="17"/>
        <v>0</v>
      </c>
      <c r="J60" s="300"/>
      <c r="K60" s="289"/>
      <c r="L60" s="359">
        <f t="shared" si="18"/>
        <v>0</v>
      </c>
      <c r="M60" s="289"/>
      <c r="N60" s="289"/>
      <c r="O60" s="359">
        <f t="shared" si="19"/>
        <v>0</v>
      </c>
      <c r="P60" s="289"/>
      <c r="Q60" s="290"/>
      <c r="R60" s="370">
        <f t="shared" si="20"/>
        <v>0</v>
      </c>
    </row>
    <row r="61" spans="1:18" s="11" customFormat="1" x14ac:dyDescent="0.25">
      <c r="A61" s="661"/>
      <c r="B61" s="664"/>
      <c r="C61" s="33" t="s">
        <v>32</v>
      </c>
      <c r="D61" s="297">
        <f t="array" ref="D61">SUM(G61:R61*(MOD(COLUMN(G61:R61),3)=1))</f>
        <v>0</v>
      </c>
      <c r="E61" s="294">
        <f t="array" ref="E61">SUM(G61:R61*(MOD(COLUMN(G61:R61),3)=2))</f>
        <v>0</v>
      </c>
      <c r="F61" s="298">
        <f t="array" ref="F61">SUM(G61:R61*(MOD(COLUMN(G61:R61),3)=0))</f>
        <v>0</v>
      </c>
      <c r="G61" s="300"/>
      <c r="H61" s="289"/>
      <c r="I61" s="359">
        <f t="shared" si="17"/>
        <v>0</v>
      </c>
      <c r="J61" s="300"/>
      <c r="K61" s="289"/>
      <c r="L61" s="359">
        <f t="shared" si="18"/>
        <v>0</v>
      </c>
      <c r="M61" s="289"/>
      <c r="N61" s="289"/>
      <c r="O61" s="359">
        <f t="shared" si="19"/>
        <v>0</v>
      </c>
      <c r="P61" s="289"/>
      <c r="Q61" s="290"/>
      <c r="R61" s="370">
        <f t="shared" si="20"/>
        <v>0</v>
      </c>
    </row>
    <row r="62" spans="1:18" s="11" customFormat="1" x14ac:dyDescent="0.25">
      <c r="A62" s="661"/>
      <c r="B62" s="664"/>
      <c r="C62" s="33" t="s">
        <v>33</v>
      </c>
      <c r="D62" s="297">
        <f t="array" ref="D62">SUM(G62:R62*(MOD(COLUMN(G62:R62),3)=1))</f>
        <v>0</v>
      </c>
      <c r="E62" s="294">
        <f t="array" ref="E62">SUM(G62:R62*(MOD(COLUMN(G62:R62),3)=2))</f>
        <v>0</v>
      </c>
      <c r="F62" s="298">
        <f t="array" ref="F62">SUM(G62:R62*(MOD(COLUMN(G62:R62),3)=0))</f>
        <v>0</v>
      </c>
      <c r="G62" s="300"/>
      <c r="H62" s="289"/>
      <c r="I62" s="359">
        <f t="shared" si="17"/>
        <v>0</v>
      </c>
      <c r="J62" s="300"/>
      <c r="K62" s="289"/>
      <c r="L62" s="359">
        <f t="shared" si="18"/>
        <v>0</v>
      </c>
      <c r="M62" s="289"/>
      <c r="N62" s="289"/>
      <c r="O62" s="359">
        <f t="shared" si="19"/>
        <v>0</v>
      </c>
      <c r="P62" s="289"/>
      <c r="Q62" s="290"/>
      <c r="R62" s="370">
        <f t="shared" si="20"/>
        <v>0</v>
      </c>
    </row>
    <row r="63" spans="1:18" s="11" customFormat="1" x14ac:dyDescent="0.25">
      <c r="A63" s="661"/>
      <c r="B63" s="664"/>
      <c r="C63" s="33" t="s">
        <v>34</v>
      </c>
      <c r="D63" s="297">
        <f t="array" ref="D63">SUM(G63:R63*(MOD(COLUMN(G63:R63),3)=1))</f>
        <v>0</v>
      </c>
      <c r="E63" s="294">
        <f t="array" ref="E63">SUM(G63:R63*(MOD(COLUMN(G63:R63),3)=2))</f>
        <v>0</v>
      </c>
      <c r="F63" s="298">
        <f t="array" ref="F63">SUM(G63:R63*(MOD(COLUMN(G63:R63),3)=0))</f>
        <v>0</v>
      </c>
      <c r="G63" s="300"/>
      <c r="H63" s="289"/>
      <c r="I63" s="359">
        <f t="shared" si="17"/>
        <v>0</v>
      </c>
      <c r="J63" s="300"/>
      <c r="K63" s="289"/>
      <c r="L63" s="359">
        <f t="shared" si="18"/>
        <v>0</v>
      </c>
      <c r="M63" s="289"/>
      <c r="N63" s="289"/>
      <c r="O63" s="359">
        <f t="shared" si="19"/>
        <v>0</v>
      </c>
      <c r="P63" s="289"/>
      <c r="Q63" s="290"/>
      <c r="R63" s="370">
        <f t="shared" si="20"/>
        <v>0</v>
      </c>
    </row>
    <row r="64" spans="1:18" s="22" customFormat="1" ht="15.75" thickBot="1" x14ac:dyDescent="0.3">
      <c r="A64" s="662"/>
      <c r="B64" s="665"/>
      <c r="C64" s="47" t="s">
        <v>35</v>
      </c>
      <c r="D64" s="297">
        <f t="array" ref="D64">SUM(G64:R64*(MOD(COLUMN(G64:R64),3)=1))</f>
        <v>0</v>
      </c>
      <c r="E64" s="294">
        <f t="array" ref="E64">SUM(G64:R64*(MOD(COLUMN(G64:R64),3)=2))</f>
        <v>0</v>
      </c>
      <c r="F64" s="298">
        <f t="array" ref="F64">SUM(G64:R64*(MOD(COLUMN(G64:R64),3)=0))</f>
        <v>0</v>
      </c>
      <c r="G64" s="301"/>
      <c r="H64" s="292"/>
      <c r="I64" s="360">
        <f t="shared" si="17"/>
        <v>0</v>
      </c>
      <c r="J64" s="301"/>
      <c r="K64" s="292"/>
      <c r="L64" s="360">
        <f t="shared" si="18"/>
        <v>0</v>
      </c>
      <c r="M64" s="292"/>
      <c r="N64" s="292"/>
      <c r="O64" s="360">
        <f t="shared" si="19"/>
        <v>0</v>
      </c>
      <c r="P64" s="292"/>
      <c r="Q64" s="293"/>
      <c r="R64" s="371">
        <f t="shared" si="20"/>
        <v>0</v>
      </c>
    </row>
    <row r="65" spans="1:19" s="150" customFormat="1" ht="15.75" thickBot="1" x14ac:dyDescent="0.3">
      <c r="A65" s="308"/>
      <c r="B65" s="309"/>
      <c r="C65" s="310"/>
      <c r="D65" s="309"/>
      <c r="E65" s="309"/>
      <c r="F65" s="311" t="s">
        <v>104</v>
      </c>
      <c r="G65" s="312"/>
      <c r="H65" s="312"/>
      <c r="I65" s="364"/>
      <c r="J65" s="312"/>
      <c r="K65" s="312"/>
      <c r="L65" s="364"/>
      <c r="M65" s="312"/>
      <c r="N65" s="312"/>
      <c r="O65" s="364"/>
      <c r="P65" s="312"/>
      <c r="Q65" s="313"/>
      <c r="R65" s="375"/>
    </row>
    <row r="66" spans="1:19" s="227" customFormat="1" x14ac:dyDescent="0.25">
      <c r="A66" s="653" t="s">
        <v>43</v>
      </c>
      <c r="B66" s="655" t="s">
        <v>40</v>
      </c>
      <c r="C66" s="381" t="s">
        <v>26</v>
      </c>
      <c r="D66" s="383">
        <f t="array" ref="D66">SUM(G66:R66*(MOD(COLUMN(G66:R66),3)=1))</f>
        <v>962935</v>
      </c>
      <c r="E66" s="384">
        <f t="array" ref="E66">SUM(G66:R66*(MOD(COLUMN(G66:R66),3)=2))</f>
        <v>962935</v>
      </c>
      <c r="F66" s="385">
        <f t="array" ref="F66">SUM(G66:R66*(MOD(COLUMN(G66:R66),3)=0))</f>
        <v>0</v>
      </c>
      <c r="G66" s="389">
        <f t="shared" ref="G66:G75" si="21">G5</f>
        <v>57043</v>
      </c>
      <c r="H66" s="390">
        <f t="shared" ref="H66:H75" si="22">H5*(1+$S$66)</f>
        <v>57043</v>
      </c>
      <c r="I66" s="365">
        <f>H66-G66</f>
        <v>0</v>
      </c>
      <c r="J66" s="389">
        <f t="shared" ref="J66:J75" si="23">J5</f>
        <v>900000</v>
      </c>
      <c r="K66" s="390">
        <f t="shared" ref="K66:K75" si="24">K5*(1+$S$66)</f>
        <v>900000</v>
      </c>
      <c r="L66" s="365">
        <f>K66-J66</f>
        <v>0</v>
      </c>
      <c r="M66" s="390">
        <f t="shared" ref="M66:M75" si="25">M5</f>
        <v>393</v>
      </c>
      <c r="N66" s="390">
        <f t="shared" ref="N66:N75" si="26">N5*(1+$S$66)</f>
        <v>393</v>
      </c>
      <c r="O66" s="365">
        <f t="shared" ref="O66:O75" si="27">N66-M66</f>
        <v>0</v>
      </c>
      <c r="P66" s="390">
        <f t="shared" ref="P66:P75" si="28">P5</f>
        <v>5499</v>
      </c>
      <c r="Q66" s="403">
        <f>Q5*(1+$S$66)</f>
        <v>5499</v>
      </c>
      <c r="R66" s="376">
        <f t="shared" ref="R66:R75" si="29">Q66-P66</f>
        <v>0</v>
      </c>
      <c r="S66" s="463">
        <f>'Analyza citlivosti - AgendovéIS'!K7</f>
        <v>0</v>
      </c>
    </row>
    <row r="67" spans="1:19" s="227" customFormat="1" x14ac:dyDescent="0.25">
      <c r="A67" s="653"/>
      <c r="B67" s="655"/>
      <c r="C67" s="381" t="s">
        <v>27</v>
      </c>
      <c r="D67" s="383">
        <f t="array" ref="D67">SUM(G67:R67*(MOD(COLUMN(G67:R67),3)=1))</f>
        <v>962935</v>
      </c>
      <c r="E67" s="384">
        <f t="array" ref="E67">SUM(G67:R67*(MOD(COLUMN(G67:R67),3)=2))</f>
        <v>962935</v>
      </c>
      <c r="F67" s="385">
        <f t="array" ref="F67">SUM(G67:R67*(MOD(COLUMN(G67:R67),3)=0))</f>
        <v>0</v>
      </c>
      <c r="G67" s="391">
        <f t="shared" si="21"/>
        <v>57043</v>
      </c>
      <c r="H67" s="390">
        <f t="shared" si="22"/>
        <v>57043</v>
      </c>
      <c r="I67" s="359">
        <f t="shared" ref="I67:I75" si="30">H67-G67</f>
        <v>0</v>
      </c>
      <c r="J67" s="391">
        <f t="shared" si="23"/>
        <v>900000</v>
      </c>
      <c r="K67" s="390">
        <f t="shared" si="24"/>
        <v>900000</v>
      </c>
      <c r="L67" s="359">
        <f t="shared" ref="L67:L75" si="31">K67-J67</f>
        <v>0</v>
      </c>
      <c r="M67" s="392">
        <f t="shared" si="25"/>
        <v>393</v>
      </c>
      <c r="N67" s="390">
        <f t="shared" si="26"/>
        <v>393</v>
      </c>
      <c r="O67" s="359">
        <f t="shared" si="27"/>
        <v>0</v>
      </c>
      <c r="P67" s="392">
        <f t="shared" si="28"/>
        <v>5499</v>
      </c>
      <c r="Q67" s="403">
        <f t="shared" ref="Q67:Q75" si="32">Q6*(1+$S$66)</f>
        <v>5499</v>
      </c>
      <c r="R67" s="370">
        <f t="shared" si="29"/>
        <v>0</v>
      </c>
    </row>
    <row r="68" spans="1:19" s="227" customFormat="1" x14ac:dyDescent="0.25">
      <c r="A68" s="653"/>
      <c r="B68" s="655"/>
      <c r="C68" s="381" t="s">
        <v>28</v>
      </c>
      <c r="D68" s="383">
        <f t="array" ref="D68">SUM(G68:R68*(MOD(COLUMN(G68:R68),3)=1))</f>
        <v>962935</v>
      </c>
      <c r="E68" s="384">
        <f t="array" ref="E68">SUM(G68:R68*(MOD(COLUMN(G68:R68),3)=2))</f>
        <v>962935</v>
      </c>
      <c r="F68" s="385">
        <f t="array" ref="F68">SUM(G68:R68*(MOD(COLUMN(G68:R68),3)=0))</f>
        <v>0</v>
      </c>
      <c r="G68" s="391">
        <f t="shared" si="21"/>
        <v>57043</v>
      </c>
      <c r="H68" s="390">
        <f t="shared" si="22"/>
        <v>57043</v>
      </c>
      <c r="I68" s="359">
        <f t="shared" si="30"/>
        <v>0</v>
      </c>
      <c r="J68" s="391">
        <f t="shared" si="23"/>
        <v>900000</v>
      </c>
      <c r="K68" s="390">
        <f t="shared" si="24"/>
        <v>900000</v>
      </c>
      <c r="L68" s="359">
        <f t="shared" si="31"/>
        <v>0</v>
      </c>
      <c r="M68" s="392">
        <f t="shared" si="25"/>
        <v>393</v>
      </c>
      <c r="N68" s="390">
        <f t="shared" si="26"/>
        <v>393</v>
      </c>
      <c r="O68" s="359">
        <f t="shared" si="27"/>
        <v>0</v>
      </c>
      <c r="P68" s="392">
        <f t="shared" si="28"/>
        <v>5499</v>
      </c>
      <c r="Q68" s="403">
        <f t="shared" si="32"/>
        <v>5499</v>
      </c>
      <c r="R68" s="370">
        <f t="shared" si="29"/>
        <v>0</v>
      </c>
    </row>
    <row r="69" spans="1:19" s="227" customFormat="1" x14ac:dyDescent="0.25">
      <c r="A69" s="653"/>
      <c r="B69" s="655"/>
      <c r="C69" s="381" t="s">
        <v>29</v>
      </c>
      <c r="D69" s="383">
        <f t="array" ref="D69">SUM(G69:R69*(MOD(COLUMN(G69:R69),3)=1))</f>
        <v>962935</v>
      </c>
      <c r="E69" s="384">
        <f t="array" ref="E69">SUM(G69:R69*(MOD(COLUMN(G69:R69),3)=2))</f>
        <v>962935</v>
      </c>
      <c r="F69" s="385">
        <f t="array" ref="F69">SUM(G69:R69*(MOD(COLUMN(G69:R69),3)=0))</f>
        <v>0</v>
      </c>
      <c r="G69" s="391">
        <f t="shared" si="21"/>
        <v>57043</v>
      </c>
      <c r="H69" s="390">
        <f t="shared" si="22"/>
        <v>57043</v>
      </c>
      <c r="I69" s="359">
        <f t="shared" si="30"/>
        <v>0</v>
      </c>
      <c r="J69" s="391">
        <f t="shared" si="23"/>
        <v>900000</v>
      </c>
      <c r="K69" s="390">
        <f t="shared" si="24"/>
        <v>900000</v>
      </c>
      <c r="L69" s="359">
        <f t="shared" si="31"/>
        <v>0</v>
      </c>
      <c r="M69" s="392">
        <f t="shared" si="25"/>
        <v>393</v>
      </c>
      <c r="N69" s="390">
        <f t="shared" si="26"/>
        <v>393</v>
      </c>
      <c r="O69" s="359">
        <f t="shared" si="27"/>
        <v>0</v>
      </c>
      <c r="P69" s="392">
        <f t="shared" si="28"/>
        <v>5499</v>
      </c>
      <c r="Q69" s="403">
        <f t="shared" si="32"/>
        <v>5499</v>
      </c>
      <c r="R69" s="370">
        <f t="shared" si="29"/>
        <v>0</v>
      </c>
    </row>
    <row r="70" spans="1:19" s="227" customFormat="1" x14ac:dyDescent="0.25">
      <c r="A70" s="653"/>
      <c r="B70" s="655"/>
      <c r="C70" s="381" t="s">
        <v>30</v>
      </c>
      <c r="D70" s="383">
        <f t="array" ref="D70">SUM(G70:R70*(MOD(COLUMN(G70:R70),3)=1))</f>
        <v>962935</v>
      </c>
      <c r="E70" s="384">
        <f t="array" ref="E70">SUM(G70:R70*(MOD(COLUMN(G70:R70),3)=2))</f>
        <v>962935</v>
      </c>
      <c r="F70" s="385">
        <f t="array" ref="F70">SUM(G70:R70*(MOD(COLUMN(G70:R70),3)=0))</f>
        <v>0</v>
      </c>
      <c r="G70" s="391">
        <f t="shared" si="21"/>
        <v>57043</v>
      </c>
      <c r="H70" s="390">
        <f t="shared" si="22"/>
        <v>57043</v>
      </c>
      <c r="I70" s="359">
        <f t="shared" si="30"/>
        <v>0</v>
      </c>
      <c r="J70" s="391">
        <f t="shared" si="23"/>
        <v>900000</v>
      </c>
      <c r="K70" s="390">
        <f t="shared" si="24"/>
        <v>900000</v>
      </c>
      <c r="L70" s="359">
        <f t="shared" si="31"/>
        <v>0</v>
      </c>
      <c r="M70" s="392">
        <f t="shared" si="25"/>
        <v>393</v>
      </c>
      <c r="N70" s="390">
        <f t="shared" si="26"/>
        <v>393</v>
      </c>
      <c r="O70" s="359">
        <f t="shared" si="27"/>
        <v>0</v>
      </c>
      <c r="P70" s="392">
        <f t="shared" si="28"/>
        <v>5499</v>
      </c>
      <c r="Q70" s="403">
        <f t="shared" si="32"/>
        <v>5499</v>
      </c>
      <c r="R70" s="370">
        <f t="shared" si="29"/>
        <v>0</v>
      </c>
    </row>
    <row r="71" spans="1:19" s="227" customFormat="1" x14ac:dyDescent="0.25">
      <c r="A71" s="653"/>
      <c r="B71" s="655"/>
      <c r="C71" s="381" t="s">
        <v>31</v>
      </c>
      <c r="D71" s="383">
        <f t="array" ref="D71">SUM(G71:R71*(MOD(COLUMN(G71:R71),3)=1))</f>
        <v>962935</v>
      </c>
      <c r="E71" s="384">
        <f t="array" ref="E71">SUM(G71:R71*(MOD(COLUMN(G71:R71),3)=2))</f>
        <v>962935</v>
      </c>
      <c r="F71" s="385">
        <f t="array" ref="F71">SUM(G71:R71*(MOD(COLUMN(G71:R71),3)=0))</f>
        <v>0</v>
      </c>
      <c r="G71" s="391">
        <f t="shared" si="21"/>
        <v>57043</v>
      </c>
      <c r="H71" s="390">
        <f t="shared" si="22"/>
        <v>57043</v>
      </c>
      <c r="I71" s="359">
        <f t="shared" si="30"/>
        <v>0</v>
      </c>
      <c r="J71" s="391">
        <f t="shared" si="23"/>
        <v>900000</v>
      </c>
      <c r="K71" s="390">
        <f t="shared" si="24"/>
        <v>900000</v>
      </c>
      <c r="L71" s="359">
        <f t="shared" si="31"/>
        <v>0</v>
      </c>
      <c r="M71" s="392">
        <f t="shared" si="25"/>
        <v>393</v>
      </c>
      <c r="N71" s="390">
        <f t="shared" si="26"/>
        <v>393</v>
      </c>
      <c r="O71" s="359">
        <f t="shared" si="27"/>
        <v>0</v>
      </c>
      <c r="P71" s="392">
        <f t="shared" si="28"/>
        <v>5499</v>
      </c>
      <c r="Q71" s="403">
        <f t="shared" si="32"/>
        <v>5499</v>
      </c>
      <c r="R71" s="370">
        <f t="shared" si="29"/>
        <v>0</v>
      </c>
    </row>
    <row r="72" spans="1:19" s="227" customFormat="1" x14ac:dyDescent="0.25">
      <c r="A72" s="653"/>
      <c r="B72" s="655"/>
      <c r="C72" s="381" t="s">
        <v>32</v>
      </c>
      <c r="D72" s="383">
        <f t="array" ref="D72">SUM(G72:R72*(MOD(COLUMN(G72:R72),3)=1))</f>
        <v>962935</v>
      </c>
      <c r="E72" s="384">
        <f t="array" ref="E72">SUM(G72:R72*(MOD(COLUMN(G72:R72),3)=2))</f>
        <v>962935</v>
      </c>
      <c r="F72" s="385">
        <f t="array" ref="F72">SUM(G72:R72*(MOD(COLUMN(G72:R72),3)=0))</f>
        <v>0</v>
      </c>
      <c r="G72" s="391">
        <f t="shared" si="21"/>
        <v>57043</v>
      </c>
      <c r="H72" s="390">
        <f t="shared" si="22"/>
        <v>57043</v>
      </c>
      <c r="I72" s="359">
        <f t="shared" si="30"/>
        <v>0</v>
      </c>
      <c r="J72" s="391">
        <f t="shared" si="23"/>
        <v>900000</v>
      </c>
      <c r="K72" s="390">
        <f t="shared" si="24"/>
        <v>900000</v>
      </c>
      <c r="L72" s="359">
        <f t="shared" si="31"/>
        <v>0</v>
      </c>
      <c r="M72" s="392">
        <f t="shared" si="25"/>
        <v>393</v>
      </c>
      <c r="N72" s="390">
        <f t="shared" si="26"/>
        <v>393</v>
      </c>
      <c r="O72" s="359">
        <f t="shared" si="27"/>
        <v>0</v>
      </c>
      <c r="P72" s="392">
        <f t="shared" si="28"/>
        <v>5499</v>
      </c>
      <c r="Q72" s="403">
        <f t="shared" si="32"/>
        <v>5499</v>
      </c>
      <c r="R72" s="370">
        <f t="shared" si="29"/>
        <v>0</v>
      </c>
    </row>
    <row r="73" spans="1:19" s="227" customFormat="1" x14ac:dyDescent="0.25">
      <c r="A73" s="653"/>
      <c r="B73" s="655"/>
      <c r="C73" s="381" t="s">
        <v>33</v>
      </c>
      <c r="D73" s="383">
        <f t="array" ref="D73">SUM(G73:R73*(MOD(COLUMN(G73:R73),3)=1))</f>
        <v>962935</v>
      </c>
      <c r="E73" s="384">
        <f t="array" ref="E73">SUM(G73:R73*(MOD(COLUMN(G73:R73),3)=2))</f>
        <v>962935</v>
      </c>
      <c r="F73" s="385">
        <f t="array" ref="F73">SUM(G73:R73*(MOD(COLUMN(G73:R73),3)=0))</f>
        <v>0</v>
      </c>
      <c r="G73" s="391">
        <f t="shared" si="21"/>
        <v>57043</v>
      </c>
      <c r="H73" s="390">
        <f t="shared" si="22"/>
        <v>57043</v>
      </c>
      <c r="I73" s="359">
        <f t="shared" si="30"/>
        <v>0</v>
      </c>
      <c r="J73" s="391">
        <f t="shared" si="23"/>
        <v>900000</v>
      </c>
      <c r="K73" s="390">
        <f t="shared" si="24"/>
        <v>900000</v>
      </c>
      <c r="L73" s="359">
        <f t="shared" si="31"/>
        <v>0</v>
      </c>
      <c r="M73" s="392">
        <f t="shared" si="25"/>
        <v>393</v>
      </c>
      <c r="N73" s="390">
        <f t="shared" si="26"/>
        <v>393</v>
      </c>
      <c r="O73" s="359">
        <f t="shared" si="27"/>
        <v>0</v>
      </c>
      <c r="P73" s="392">
        <f t="shared" si="28"/>
        <v>5499</v>
      </c>
      <c r="Q73" s="403">
        <f t="shared" si="32"/>
        <v>5499</v>
      </c>
      <c r="R73" s="370">
        <f t="shared" si="29"/>
        <v>0</v>
      </c>
    </row>
    <row r="74" spans="1:19" s="227" customFormat="1" x14ac:dyDescent="0.25">
      <c r="A74" s="653"/>
      <c r="B74" s="655"/>
      <c r="C74" s="381" t="s">
        <v>34</v>
      </c>
      <c r="D74" s="383">
        <f t="array" ref="D74">SUM(G74:R74*(MOD(COLUMN(G74:R74),3)=1))</f>
        <v>962935</v>
      </c>
      <c r="E74" s="384">
        <f t="array" ref="E74">SUM(G74:R74*(MOD(COLUMN(G74:R74),3)=2))</f>
        <v>962935</v>
      </c>
      <c r="F74" s="385">
        <f t="array" ref="F74">SUM(G74:R74*(MOD(COLUMN(G74:R74),3)=0))</f>
        <v>0</v>
      </c>
      <c r="G74" s="391">
        <f t="shared" si="21"/>
        <v>57043</v>
      </c>
      <c r="H74" s="390">
        <f t="shared" si="22"/>
        <v>57043</v>
      </c>
      <c r="I74" s="359">
        <f t="shared" si="30"/>
        <v>0</v>
      </c>
      <c r="J74" s="391">
        <f t="shared" si="23"/>
        <v>900000</v>
      </c>
      <c r="K74" s="390">
        <f t="shared" si="24"/>
        <v>900000</v>
      </c>
      <c r="L74" s="359">
        <f t="shared" si="31"/>
        <v>0</v>
      </c>
      <c r="M74" s="392">
        <f t="shared" si="25"/>
        <v>393</v>
      </c>
      <c r="N74" s="390">
        <f t="shared" si="26"/>
        <v>393</v>
      </c>
      <c r="O74" s="359">
        <f t="shared" si="27"/>
        <v>0</v>
      </c>
      <c r="P74" s="392">
        <f t="shared" si="28"/>
        <v>5499</v>
      </c>
      <c r="Q74" s="403">
        <f t="shared" si="32"/>
        <v>5499</v>
      </c>
      <c r="R74" s="370">
        <f t="shared" si="29"/>
        <v>0</v>
      </c>
    </row>
    <row r="75" spans="1:19" s="227" customFormat="1" ht="15.75" thickBot="1" x14ac:dyDescent="0.3">
      <c r="A75" s="654"/>
      <c r="B75" s="656"/>
      <c r="C75" s="382" t="s">
        <v>35</v>
      </c>
      <c r="D75" s="386">
        <f t="array" ref="D75">SUM(G75:R75*(MOD(COLUMN(G75:R75),3)=1))</f>
        <v>962935</v>
      </c>
      <c r="E75" s="387">
        <f t="array" ref="E75">SUM(G75:R75*(MOD(COLUMN(G75:R75),3)=2))</f>
        <v>962935</v>
      </c>
      <c r="F75" s="388">
        <f t="array" ref="F75">SUM(G75:R75*(MOD(COLUMN(G75:R75),3)=0))</f>
        <v>0</v>
      </c>
      <c r="G75" s="393">
        <f t="shared" si="21"/>
        <v>57043</v>
      </c>
      <c r="H75" s="390">
        <f t="shared" si="22"/>
        <v>57043</v>
      </c>
      <c r="I75" s="360">
        <f t="shared" si="30"/>
        <v>0</v>
      </c>
      <c r="J75" s="393">
        <f t="shared" si="23"/>
        <v>900000</v>
      </c>
      <c r="K75" s="390">
        <f t="shared" si="24"/>
        <v>900000</v>
      </c>
      <c r="L75" s="360">
        <f t="shared" si="31"/>
        <v>0</v>
      </c>
      <c r="M75" s="394">
        <f t="shared" si="25"/>
        <v>393</v>
      </c>
      <c r="N75" s="390">
        <f t="shared" si="26"/>
        <v>393</v>
      </c>
      <c r="O75" s="360">
        <f t="shared" si="27"/>
        <v>0</v>
      </c>
      <c r="P75" s="394">
        <f t="shared" si="28"/>
        <v>5499</v>
      </c>
      <c r="Q75" s="403">
        <f t="shared" si="32"/>
        <v>5499</v>
      </c>
      <c r="R75" s="371">
        <f t="shared" si="29"/>
        <v>0</v>
      </c>
    </row>
    <row r="76" spans="1:19" x14ac:dyDescent="0.25">
      <c r="A76" s="653" t="s">
        <v>375</v>
      </c>
      <c r="B76" s="655" t="s">
        <v>12</v>
      </c>
      <c r="C76" s="381" t="s">
        <v>26</v>
      </c>
      <c r="D76" s="457">
        <f t="array" ref="D76">SUM(G76:R76*(MOD(COLUMN(G76:R76),3)=1))</f>
        <v>4140656.3266833336</v>
      </c>
      <c r="E76" s="458">
        <f t="array" ref="E76">SUM(G76:R76*(MOD(COLUMN(G76:R76),3)=2))</f>
        <v>4140656.3266833336</v>
      </c>
      <c r="F76" s="459">
        <f t="array" ref="F76">SUM(G76:R76*(MOD(COLUMN(G76:R76),3)=0))</f>
        <v>0</v>
      </c>
      <c r="G76" s="395">
        <f>G5*G35*Faktory!$D$8</f>
        <v>1722800.3266833336</v>
      </c>
      <c r="H76" s="395">
        <f>((H66*G35)-(H66*((G35-H35)*(1+$S$35))))*Faktory!$D$8</f>
        <v>1722800.3266833336</v>
      </c>
      <c r="I76" s="358">
        <f>H76-G76</f>
        <v>0</v>
      </c>
      <c r="J76" s="395">
        <f>J5*J35*Faktory!$D$8</f>
        <v>2417856</v>
      </c>
      <c r="K76" s="395">
        <f>((K66*J35)-(K66*((J35-K35)*(1+$S$35))))*Faktory!$D$8</f>
        <v>2417856</v>
      </c>
      <c r="L76" s="358">
        <f>K76-J76</f>
        <v>0</v>
      </c>
      <c r="M76" s="396">
        <f>M5*M35*Faktory!$D$8</f>
        <v>0</v>
      </c>
      <c r="N76" s="396">
        <f>((N66*M35)-(N66*((M35-N35)*(1+$S$35))))*Faktory!$D$8</f>
        <v>0</v>
      </c>
      <c r="O76" s="358">
        <f>N76-M76</f>
        <v>0</v>
      </c>
      <c r="P76" s="396">
        <f>P5*P35*Faktory!$D$8</f>
        <v>0</v>
      </c>
      <c r="Q76" s="396">
        <f>((Q66*P35)-(Q66*((P35-Q35)*(1+$S$35))))*Faktory!$D$8</f>
        <v>0</v>
      </c>
      <c r="R76" s="377">
        <f>Q76-P76</f>
        <v>0</v>
      </c>
    </row>
    <row r="77" spans="1:19" x14ac:dyDescent="0.25">
      <c r="A77" s="653"/>
      <c r="B77" s="655"/>
      <c r="C77" s="381" t="s">
        <v>27</v>
      </c>
      <c r="D77" s="383">
        <f t="array" ref="D77">SUM(G77:R77*(MOD(COLUMN(G77:R77),3)=1))</f>
        <v>4140656.3266833336</v>
      </c>
      <c r="E77" s="384">
        <f t="array" ref="E77">SUM(G77:R77*(MOD(COLUMN(G77:R77),3)=2))</f>
        <v>4140656.3266833336</v>
      </c>
      <c r="F77" s="385">
        <f t="array" ref="F77">SUM(G77:R77*(MOD(COLUMN(G77:R77),3)=0))</f>
        <v>0</v>
      </c>
      <c r="G77" s="391">
        <f>G6*G36*Faktory!$D$8</f>
        <v>1722800.3266833336</v>
      </c>
      <c r="H77" s="391">
        <f>((H67*G36)-(H67*((G36-H36)*(1+$S$35))))*Faktory!$D$8</f>
        <v>1722800.3266833336</v>
      </c>
      <c r="I77" s="359">
        <f t="shared" ref="I77:I95" si="33">H77-G77</f>
        <v>0</v>
      </c>
      <c r="J77" s="391">
        <f>J6*J36*Faktory!$D$8</f>
        <v>2417856</v>
      </c>
      <c r="K77" s="391">
        <f>((K67*J36)-(K67*((J36-K36)*(1+$S$35))))*Faktory!$D$8</f>
        <v>2417856</v>
      </c>
      <c r="L77" s="359">
        <f t="shared" ref="L77:L95" si="34">K77-J77</f>
        <v>0</v>
      </c>
      <c r="M77" s="392">
        <f>M6*M36*Faktory!$D$8</f>
        <v>0</v>
      </c>
      <c r="N77" s="392">
        <f>((N67*M36)-(N67*((M36-N36)*(1+$S$35))))*Faktory!$D$8</f>
        <v>0</v>
      </c>
      <c r="O77" s="359">
        <f t="shared" ref="O77:O95" si="35">N77-M77</f>
        <v>0</v>
      </c>
      <c r="P77" s="392">
        <f>P6*P36*Faktory!$D$8</f>
        <v>0</v>
      </c>
      <c r="Q77" s="392">
        <f>((Q67*P36)-(Q67*((P36-Q36)*(1+$S$35))))*Faktory!$D$8</f>
        <v>0</v>
      </c>
      <c r="R77" s="370">
        <f t="shared" ref="R77:R95" si="36">Q77-P77</f>
        <v>0</v>
      </c>
    </row>
    <row r="78" spans="1:19" x14ac:dyDescent="0.25">
      <c r="A78" s="653"/>
      <c r="B78" s="655"/>
      <c r="C78" s="381" t="s">
        <v>28</v>
      </c>
      <c r="D78" s="383">
        <f t="array" ref="D78">SUM(G78:R78*(MOD(COLUMN(G78:R78),3)=1))</f>
        <v>4140656.3266833336</v>
      </c>
      <c r="E78" s="384">
        <f t="array" ref="E78">SUM(G78:R78*(MOD(COLUMN(G78:R78),3)=2))</f>
        <v>2417856</v>
      </c>
      <c r="F78" s="385">
        <f t="array" ref="F78">SUM(G78:R78*(MOD(COLUMN(G78:R78),3)=0))</f>
        <v>-1722800.3266833336</v>
      </c>
      <c r="G78" s="391">
        <f>G7*G37*Faktory!$D$8</f>
        <v>1722800.3266833336</v>
      </c>
      <c r="H78" s="391">
        <f>((H68*G37)-(H68*((G37-H37)*(1+$S$35))))*Faktory!$D$8</f>
        <v>0</v>
      </c>
      <c r="I78" s="359">
        <f t="shared" si="33"/>
        <v>-1722800.3266833336</v>
      </c>
      <c r="J78" s="391">
        <f>J7*J37*Faktory!$D$8</f>
        <v>2417856</v>
      </c>
      <c r="K78" s="391">
        <f>((K68*J37)-(K68*((J37-K37)*(1+$S$35))))*Faktory!$D$8</f>
        <v>2417856</v>
      </c>
      <c r="L78" s="359">
        <f t="shared" si="34"/>
        <v>0</v>
      </c>
      <c r="M78" s="392">
        <f>M7*M37*Faktory!$D$8</f>
        <v>0</v>
      </c>
      <c r="N78" s="392">
        <f>((N68*M37)-(N68*((M37-N37)*(1+$S$35))))*Faktory!$D$8</f>
        <v>0</v>
      </c>
      <c r="O78" s="359">
        <f t="shared" si="35"/>
        <v>0</v>
      </c>
      <c r="P78" s="392">
        <f>P7*P37*Faktory!$D$8</f>
        <v>0</v>
      </c>
      <c r="Q78" s="392">
        <f>((Q68*P37)-(Q68*((P37-Q37)*(1+$S$35))))*Faktory!$D$8</f>
        <v>0</v>
      </c>
      <c r="R78" s="370">
        <f t="shared" si="36"/>
        <v>0</v>
      </c>
    </row>
    <row r="79" spans="1:19" x14ac:dyDescent="0.25">
      <c r="A79" s="653"/>
      <c r="B79" s="655"/>
      <c r="C79" s="381" t="s">
        <v>29</v>
      </c>
      <c r="D79" s="383">
        <f t="array" ref="D79">SUM(G79:R79*(MOD(COLUMN(G79:R79),3)=1))</f>
        <v>4140656.3266833336</v>
      </c>
      <c r="E79" s="384">
        <f t="array" ref="E79">SUM(G79:R79*(MOD(COLUMN(G79:R79),3)=2))</f>
        <v>2417856</v>
      </c>
      <c r="F79" s="385">
        <f t="array" ref="F79">SUM(G79:R79*(MOD(COLUMN(G79:R79),3)=0))</f>
        <v>-1722800.3266833336</v>
      </c>
      <c r="G79" s="391">
        <f>G8*G38*Faktory!$D$8</f>
        <v>1722800.3266833336</v>
      </c>
      <c r="H79" s="391">
        <f>((H69*G38)-(H69*((G38-H38)*(1+$S$35))))*Faktory!$D$8</f>
        <v>0</v>
      </c>
      <c r="I79" s="359">
        <f t="shared" si="33"/>
        <v>-1722800.3266833336</v>
      </c>
      <c r="J79" s="391">
        <f>J8*J38*Faktory!$D$8</f>
        <v>2417856</v>
      </c>
      <c r="K79" s="391">
        <f>((K69*J38)-(K69*((J38-K38)*(1+$S$35))))*Faktory!$D$8</f>
        <v>2417856</v>
      </c>
      <c r="L79" s="359">
        <f t="shared" si="34"/>
        <v>0</v>
      </c>
      <c r="M79" s="392">
        <f>M8*M38*Faktory!$D$8</f>
        <v>0</v>
      </c>
      <c r="N79" s="392">
        <f>((N69*M38)-(N69*((M38-N38)*(1+$S$35))))*Faktory!$D$8</f>
        <v>0</v>
      </c>
      <c r="O79" s="359">
        <f t="shared" si="35"/>
        <v>0</v>
      </c>
      <c r="P79" s="392">
        <f>P8*P38*Faktory!$D$8</f>
        <v>0</v>
      </c>
      <c r="Q79" s="392">
        <f>((Q69*P38)-(Q69*((P38-Q38)*(1+$S$35))))*Faktory!$D$8</f>
        <v>0</v>
      </c>
      <c r="R79" s="370">
        <f t="shared" si="36"/>
        <v>0</v>
      </c>
    </row>
    <row r="80" spans="1:19" x14ac:dyDescent="0.25">
      <c r="A80" s="653"/>
      <c r="B80" s="655"/>
      <c r="C80" s="381" t="s">
        <v>30</v>
      </c>
      <c r="D80" s="383">
        <f t="array" ref="D80">SUM(G80:R80*(MOD(COLUMN(G80:R80),3)=1))</f>
        <v>4140656.3266833336</v>
      </c>
      <c r="E80" s="384">
        <f t="array" ref="E80">SUM(G80:R80*(MOD(COLUMN(G80:R80),3)=2))</f>
        <v>2417856</v>
      </c>
      <c r="F80" s="385">
        <f t="array" ref="F80">SUM(G80:R80*(MOD(COLUMN(G80:R80),3)=0))</f>
        <v>-1722800.3266833336</v>
      </c>
      <c r="G80" s="391">
        <f>G9*G39*Faktory!$D$8</f>
        <v>1722800.3266833336</v>
      </c>
      <c r="H80" s="391">
        <f>((H70*G39)-(H70*((G39-H39)*(1+$S$35))))*Faktory!$D$8</f>
        <v>0</v>
      </c>
      <c r="I80" s="359">
        <f t="shared" si="33"/>
        <v>-1722800.3266833336</v>
      </c>
      <c r="J80" s="391">
        <f>J9*J39*Faktory!$D$8</f>
        <v>2417856</v>
      </c>
      <c r="K80" s="391">
        <f>((K70*J39)-(K70*((J39-K39)*(1+$S$35))))*Faktory!$D$8</f>
        <v>2417856</v>
      </c>
      <c r="L80" s="359">
        <f t="shared" si="34"/>
        <v>0</v>
      </c>
      <c r="M80" s="392">
        <f>M9*M39*Faktory!$D$8</f>
        <v>0</v>
      </c>
      <c r="N80" s="392">
        <f>((N70*M39)-(N70*((M39-N39)*(1+$S$35))))*Faktory!$D$8</f>
        <v>0</v>
      </c>
      <c r="O80" s="359">
        <f t="shared" si="35"/>
        <v>0</v>
      </c>
      <c r="P80" s="392">
        <f>P9*P39*Faktory!$D$8</f>
        <v>0</v>
      </c>
      <c r="Q80" s="392">
        <f>((Q70*P39)-(Q70*((P39-Q39)*(1+$S$35))))*Faktory!$D$8</f>
        <v>0</v>
      </c>
      <c r="R80" s="370">
        <f t="shared" si="36"/>
        <v>0</v>
      </c>
    </row>
    <row r="81" spans="1:18" x14ac:dyDescent="0.25">
      <c r="A81" s="653"/>
      <c r="B81" s="655"/>
      <c r="C81" s="381" t="s">
        <v>31</v>
      </c>
      <c r="D81" s="383">
        <f t="array" ref="D81">SUM(G81:R81*(MOD(COLUMN(G81:R81),3)=1))</f>
        <v>4140656.3266833336</v>
      </c>
      <c r="E81" s="384">
        <f t="array" ref="E81">SUM(G81:R81*(MOD(COLUMN(G81:R81),3)=2))</f>
        <v>2417856</v>
      </c>
      <c r="F81" s="385">
        <f t="array" ref="F81">SUM(G81:R81*(MOD(COLUMN(G81:R81),3)=0))</f>
        <v>-1722800.3266833336</v>
      </c>
      <c r="G81" s="391">
        <f>G10*G40*Faktory!$D$8</f>
        <v>1722800.3266833336</v>
      </c>
      <c r="H81" s="391">
        <f>((H71*G40)-(H71*((G40-H40)*(1+$S$35))))*Faktory!$D$8</f>
        <v>0</v>
      </c>
      <c r="I81" s="359">
        <f t="shared" si="33"/>
        <v>-1722800.3266833336</v>
      </c>
      <c r="J81" s="391">
        <f>J10*J40*Faktory!$D$8</f>
        <v>2417856</v>
      </c>
      <c r="K81" s="391">
        <f>((K71*J40)-(K71*((J40-K40)*(1+$S$35))))*Faktory!$D$8</f>
        <v>2417856</v>
      </c>
      <c r="L81" s="359">
        <f t="shared" si="34"/>
        <v>0</v>
      </c>
      <c r="M81" s="392">
        <f>M10*M40*Faktory!$D$8</f>
        <v>0</v>
      </c>
      <c r="N81" s="392">
        <f>((N71*M40)-(N71*((M40-N40)*(1+$S$35))))*Faktory!$D$8</f>
        <v>0</v>
      </c>
      <c r="O81" s="359">
        <f t="shared" si="35"/>
        <v>0</v>
      </c>
      <c r="P81" s="392">
        <f>P10*P40*Faktory!$D$8</f>
        <v>0</v>
      </c>
      <c r="Q81" s="392">
        <f>((Q71*P40)-(Q71*((P40-Q40)*(1+$S$35))))*Faktory!$D$8</f>
        <v>0</v>
      </c>
      <c r="R81" s="370">
        <f t="shared" si="36"/>
        <v>0</v>
      </c>
    </row>
    <row r="82" spans="1:18" x14ac:dyDescent="0.25">
      <c r="A82" s="653"/>
      <c r="B82" s="655"/>
      <c r="C82" s="381" t="s">
        <v>32</v>
      </c>
      <c r="D82" s="383">
        <f t="array" ref="D82">SUM(G82:R82*(MOD(COLUMN(G82:R82),3)=1))</f>
        <v>4140656.3266833336</v>
      </c>
      <c r="E82" s="384">
        <f t="array" ref="E82">SUM(G82:R82*(MOD(COLUMN(G82:R82),3)=2))</f>
        <v>2417856</v>
      </c>
      <c r="F82" s="385">
        <f t="array" ref="F82">SUM(G82:R82*(MOD(COLUMN(G82:R82),3)=0))</f>
        <v>-1722800.3266833336</v>
      </c>
      <c r="G82" s="391">
        <f>G11*G41*Faktory!$D$8</f>
        <v>1722800.3266833336</v>
      </c>
      <c r="H82" s="391">
        <f>((H72*G41)-(H72*((G41-H41)*(1+$S$35))))*Faktory!$D$8</f>
        <v>0</v>
      </c>
      <c r="I82" s="359">
        <f t="shared" si="33"/>
        <v>-1722800.3266833336</v>
      </c>
      <c r="J82" s="391">
        <f>J11*J41*Faktory!$D$8</f>
        <v>2417856</v>
      </c>
      <c r="K82" s="391">
        <f>((K72*J41)-(K72*((J41-K41)*(1+$S$35))))*Faktory!$D$8</f>
        <v>2417856</v>
      </c>
      <c r="L82" s="359">
        <f t="shared" si="34"/>
        <v>0</v>
      </c>
      <c r="M82" s="392">
        <f>M11*M41*Faktory!$D$8</f>
        <v>0</v>
      </c>
      <c r="N82" s="392">
        <f>((N72*M41)-(N72*((M41-N41)*(1+$S$35))))*Faktory!$D$8</f>
        <v>0</v>
      </c>
      <c r="O82" s="359">
        <f t="shared" si="35"/>
        <v>0</v>
      </c>
      <c r="P82" s="392">
        <f>P11*P41*Faktory!$D$8</f>
        <v>0</v>
      </c>
      <c r="Q82" s="392">
        <f>((Q72*P41)-(Q72*((P41-Q41)*(1+$S$35))))*Faktory!$D$8</f>
        <v>0</v>
      </c>
      <c r="R82" s="370">
        <f t="shared" si="36"/>
        <v>0</v>
      </c>
    </row>
    <row r="83" spans="1:18" x14ac:dyDescent="0.25">
      <c r="A83" s="653"/>
      <c r="B83" s="655"/>
      <c r="C83" s="381" t="s">
        <v>33</v>
      </c>
      <c r="D83" s="383">
        <f t="array" ref="D83">SUM(G83:R83*(MOD(COLUMN(G83:R83),3)=1))</f>
        <v>4140656.3266833336</v>
      </c>
      <c r="E83" s="384">
        <f t="array" ref="E83">SUM(G83:R83*(MOD(COLUMN(G83:R83),3)=2))</f>
        <v>2417856</v>
      </c>
      <c r="F83" s="385">
        <f t="array" ref="F83">SUM(G83:R83*(MOD(COLUMN(G83:R83),3)=0))</f>
        <v>-1722800.3266833336</v>
      </c>
      <c r="G83" s="391">
        <f>G12*G42*Faktory!$D$8</f>
        <v>1722800.3266833336</v>
      </c>
      <c r="H83" s="391">
        <f>((H73*G42)-(H73*((G42-H42)*(1+$S$35))))*Faktory!$D$8</f>
        <v>0</v>
      </c>
      <c r="I83" s="359">
        <f t="shared" si="33"/>
        <v>-1722800.3266833336</v>
      </c>
      <c r="J83" s="391">
        <f>J12*J42*Faktory!$D$8</f>
        <v>2417856</v>
      </c>
      <c r="K83" s="391">
        <f>((K73*J42)-(K73*((J42-K42)*(1+$S$35))))*Faktory!$D$8</f>
        <v>2417856</v>
      </c>
      <c r="L83" s="359">
        <f t="shared" si="34"/>
        <v>0</v>
      </c>
      <c r="M83" s="392">
        <f>M12*M42*Faktory!$D$8</f>
        <v>0</v>
      </c>
      <c r="N83" s="392">
        <f>((N73*M42)-(N73*((M42-N42)*(1+$S$35))))*Faktory!$D$8</f>
        <v>0</v>
      </c>
      <c r="O83" s="359">
        <f t="shared" si="35"/>
        <v>0</v>
      </c>
      <c r="P83" s="392">
        <f>P12*P42*Faktory!$D$8</f>
        <v>0</v>
      </c>
      <c r="Q83" s="392">
        <f>((Q73*P42)-(Q73*((P42-Q42)*(1+$S$35))))*Faktory!$D$8</f>
        <v>0</v>
      </c>
      <c r="R83" s="370">
        <f t="shared" si="36"/>
        <v>0</v>
      </c>
    </row>
    <row r="84" spans="1:18" x14ac:dyDescent="0.25">
      <c r="A84" s="653"/>
      <c r="B84" s="655"/>
      <c r="C84" s="381" t="s">
        <v>34</v>
      </c>
      <c r="D84" s="383">
        <f t="array" ref="D84">SUM(G84:R84*(MOD(COLUMN(G84:R84),3)=1))</f>
        <v>4140656.3266833336</v>
      </c>
      <c r="E84" s="384">
        <f t="array" ref="E84">SUM(G84:R84*(MOD(COLUMN(G84:R84),3)=2))</f>
        <v>2417856</v>
      </c>
      <c r="F84" s="385">
        <f t="array" ref="F84">SUM(G84:R84*(MOD(COLUMN(G84:R84),3)=0))</f>
        <v>-1722800.3266833336</v>
      </c>
      <c r="G84" s="391">
        <f>G13*G43*Faktory!$D$8</f>
        <v>1722800.3266833336</v>
      </c>
      <c r="H84" s="391">
        <f>((H74*G43)-(H74*((G43-H43)*(1+$S$35))))*Faktory!$D$8</f>
        <v>0</v>
      </c>
      <c r="I84" s="359">
        <f t="shared" si="33"/>
        <v>-1722800.3266833336</v>
      </c>
      <c r="J84" s="391">
        <f>J13*J43*Faktory!$D$8</f>
        <v>2417856</v>
      </c>
      <c r="K84" s="391">
        <f>((K74*J43)-(K74*((J43-K43)*(1+$S$35))))*Faktory!$D$8</f>
        <v>2417856</v>
      </c>
      <c r="L84" s="359">
        <f t="shared" si="34"/>
        <v>0</v>
      </c>
      <c r="M84" s="392">
        <f>M13*M43*Faktory!$D$8</f>
        <v>0</v>
      </c>
      <c r="N84" s="392">
        <f>((N74*M43)-(N74*((M43-N43)*(1+$S$35))))*Faktory!$D$8</f>
        <v>0</v>
      </c>
      <c r="O84" s="359">
        <f t="shared" si="35"/>
        <v>0</v>
      </c>
      <c r="P84" s="392">
        <f>P13*P43*Faktory!$D$8</f>
        <v>0</v>
      </c>
      <c r="Q84" s="392">
        <f>((Q74*P43)-(Q74*((P43-Q43)*(1+$S$35))))*Faktory!$D$8</f>
        <v>0</v>
      </c>
      <c r="R84" s="370">
        <f t="shared" si="36"/>
        <v>0</v>
      </c>
    </row>
    <row r="85" spans="1:18" ht="15.75" thickBot="1" x14ac:dyDescent="0.3">
      <c r="A85" s="654"/>
      <c r="B85" s="656"/>
      <c r="C85" s="382" t="s">
        <v>35</v>
      </c>
      <c r="D85" s="386">
        <f t="array" ref="D85">SUM(G85:R85*(MOD(COLUMN(G85:R85),3)=1))</f>
        <v>4140656.3266833336</v>
      </c>
      <c r="E85" s="387">
        <f t="array" ref="E85">SUM(G85:R85*(MOD(COLUMN(G85:R85),3)=2))</f>
        <v>2417856</v>
      </c>
      <c r="F85" s="388">
        <f t="array" ref="F85">SUM(G85:R85*(MOD(COLUMN(G85:R85),3)=0))</f>
        <v>-1722800.3266833336</v>
      </c>
      <c r="G85" s="393">
        <f>G14*G44*Faktory!$D$8</f>
        <v>1722800.3266833336</v>
      </c>
      <c r="H85" s="393">
        <f>((H75*G44)-(H75*((G44-H44)*(1+$S$35))))*Faktory!$D$8</f>
        <v>0</v>
      </c>
      <c r="I85" s="360">
        <f t="shared" si="33"/>
        <v>-1722800.3266833336</v>
      </c>
      <c r="J85" s="393">
        <f>J14*J44*Faktory!$D$8</f>
        <v>2417856</v>
      </c>
      <c r="K85" s="393">
        <f>((K75*J44)-(K75*((J44-K44)*(1+$S$35))))*Faktory!$D$8</f>
        <v>2417856</v>
      </c>
      <c r="L85" s="360">
        <f t="shared" si="34"/>
        <v>0</v>
      </c>
      <c r="M85" s="394">
        <f>M14*M44*Faktory!$D$8</f>
        <v>0</v>
      </c>
      <c r="N85" s="394">
        <f>((N75*M44)-(N75*((M44-N44)*(1+$S$35))))*Faktory!$D$8</f>
        <v>0</v>
      </c>
      <c r="O85" s="360">
        <f t="shared" si="35"/>
        <v>0</v>
      </c>
      <c r="P85" s="394">
        <f>P14*P44*Faktory!$D$8</f>
        <v>0</v>
      </c>
      <c r="Q85" s="394">
        <f>((Q75*P44)-(Q75*((P44-Q44)*(1+$S$35))))*Faktory!$D$8</f>
        <v>0</v>
      </c>
      <c r="R85" s="371">
        <f t="shared" si="36"/>
        <v>0</v>
      </c>
    </row>
    <row r="86" spans="1:18" x14ac:dyDescent="0.25">
      <c r="A86" s="653" t="s">
        <v>144</v>
      </c>
      <c r="B86" s="655" t="s">
        <v>145</v>
      </c>
      <c r="C86" s="381" t="s">
        <v>26</v>
      </c>
      <c r="D86" s="457">
        <f t="array" ref="D86">SUM(G86:R86*(MOD(COLUMN(G86:R86),3)=1))</f>
        <v>142.07674794238685</v>
      </c>
      <c r="E86" s="458">
        <f t="array" ref="E86">SUM(G86:R86*(MOD(COLUMN(G86:R86),3)=2))</f>
        <v>142.07674794238685</v>
      </c>
      <c r="F86" s="459">
        <f t="array" ref="F86">SUM(G86:R86*(MOD(COLUMN(G86:R86),3)=0))</f>
        <v>0</v>
      </c>
      <c r="G86" s="397">
        <f>(G5*G35)/12/21/7.5</f>
        <v>59.113784979423876</v>
      </c>
      <c r="H86" s="398">
        <f>(H5*H35)/12/21/7.5</f>
        <v>59.113784979423876</v>
      </c>
      <c r="I86" s="366">
        <f t="shared" si="33"/>
        <v>0</v>
      </c>
      <c r="J86" s="397">
        <f>(J5*J35)/12/21/7.5</f>
        <v>82.962962962962962</v>
      </c>
      <c r="K86" s="398">
        <f>(K5*K35)/12/21/7.5</f>
        <v>82.962962962962962</v>
      </c>
      <c r="L86" s="366">
        <f t="shared" si="34"/>
        <v>0</v>
      </c>
      <c r="M86" s="398">
        <f t="shared" ref="M86:N86" si="37">(M5*M35)/12/21/7.5</f>
        <v>0</v>
      </c>
      <c r="N86" s="398">
        <f t="shared" si="37"/>
        <v>0</v>
      </c>
      <c r="O86" s="366">
        <f t="shared" si="35"/>
        <v>0</v>
      </c>
      <c r="P86" s="398">
        <f t="shared" ref="P86:Q86" si="38">(P5*P35)/12/21/7.5</f>
        <v>0</v>
      </c>
      <c r="Q86" s="407">
        <f t="shared" si="38"/>
        <v>0</v>
      </c>
      <c r="R86" s="378">
        <f t="shared" si="36"/>
        <v>0</v>
      </c>
    </row>
    <row r="87" spans="1:18" x14ac:dyDescent="0.25">
      <c r="A87" s="653"/>
      <c r="B87" s="655"/>
      <c r="C87" s="381" t="s">
        <v>27</v>
      </c>
      <c r="D87" s="383">
        <f t="array" ref="D87">SUM(G87:R87*(MOD(COLUMN(G87:R87),3)=1))</f>
        <v>142.07674794238685</v>
      </c>
      <c r="E87" s="384">
        <f t="array" ref="E87">SUM(G87:R87*(MOD(COLUMN(G87:R87),3)=2))</f>
        <v>142.07674794238685</v>
      </c>
      <c r="F87" s="385">
        <f t="array" ref="F87">SUM(G87:R87*(MOD(COLUMN(G87:R87),3)=0))</f>
        <v>0</v>
      </c>
      <c r="G87" s="399">
        <f t="shared" ref="G87:H87" si="39">(G6*G36)/12/21/7.5</f>
        <v>59.113784979423876</v>
      </c>
      <c r="H87" s="400">
        <f t="shared" si="39"/>
        <v>59.113784979423876</v>
      </c>
      <c r="I87" s="367">
        <f t="shared" si="33"/>
        <v>0</v>
      </c>
      <c r="J87" s="399">
        <f t="shared" ref="J87:K87" si="40">(J6*J36)/12/21/7.5</f>
        <v>82.962962962962962</v>
      </c>
      <c r="K87" s="400">
        <f t="shared" si="40"/>
        <v>82.962962962962962</v>
      </c>
      <c r="L87" s="367">
        <f t="shared" si="34"/>
        <v>0</v>
      </c>
      <c r="M87" s="400">
        <f t="shared" ref="M87:N87" si="41">(M6*M36)/12/21/7.5</f>
        <v>0</v>
      </c>
      <c r="N87" s="400">
        <f t="shared" si="41"/>
        <v>0</v>
      </c>
      <c r="O87" s="367">
        <f t="shared" si="35"/>
        <v>0</v>
      </c>
      <c r="P87" s="400">
        <f t="shared" ref="P87:Q87" si="42">(P6*P36)/12/21/7.5</f>
        <v>0</v>
      </c>
      <c r="Q87" s="408">
        <f t="shared" si="42"/>
        <v>0</v>
      </c>
      <c r="R87" s="379">
        <f t="shared" si="36"/>
        <v>0</v>
      </c>
    </row>
    <row r="88" spans="1:18" x14ac:dyDescent="0.25">
      <c r="A88" s="653"/>
      <c r="B88" s="655"/>
      <c r="C88" s="381" t="s">
        <v>28</v>
      </c>
      <c r="D88" s="383">
        <f t="array" ref="D88">SUM(G88:R88*(MOD(COLUMN(G88:R88),3)=1))</f>
        <v>142.07674794238685</v>
      </c>
      <c r="E88" s="384">
        <f t="array" ref="E88">SUM(G88:R88*(MOD(COLUMN(G88:R88),3)=2))</f>
        <v>82.962962962962962</v>
      </c>
      <c r="F88" s="385">
        <f t="array" ref="F88">SUM(G88:R88*(MOD(COLUMN(G88:R88),3)=0))</f>
        <v>-59.113784979423876</v>
      </c>
      <c r="G88" s="399">
        <f t="shared" ref="G88:H88" si="43">(G7*G37)/12/21/7.5</f>
        <v>59.113784979423876</v>
      </c>
      <c r="H88" s="400">
        <f t="shared" si="43"/>
        <v>0</v>
      </c>
      <c r="I88" s="367">
        <f t="shared" si="33"/>
        <v>-59.113784979423876</v>
      </c>
      <c r="J88" s="399">
        <f t="shared" ref="J88:K88" si="44">(J7*J37)/12/21/7.5</f>
        <v>82.962962962962962</v>
      </c>
      <c r="K88" s="400">
        <f t="shared" si="44"/>
        <v>82.962962962962962</v>
      </c>
      <c r="L88" s="367">
        <f t="shared" si="34"/>
        <v>0</v>
      </c>
      <c r="M88" s="400">
        <f t="shared" ref="M88:N88" si="45">(M7*M37)/12/21/7.5</f>
        <v>0</v>
      </c>
      <c r="N88" s="400">
        <f t="shared" si="45"/>
        <v>0</v>
      </c>
      <c r="O88" s="367">
        <f t="shared" si="35"/>
        <v>0</v>
      </c>
      <c r="P88" s="400">
        <f t="shared" ref="P88:Q88" si="46">(P7*P37)/12/21/7.5</f>
        <v>0</v>
      </c>
      <c r="Q88" s="408">
        <f t="shared" si="46"/>
        <v>0</v>
      </c>
      <c r="R88" s="379">
        <f t="shared" si="36"/>
        <v>0</v>
      </c>
    </row>
    <row r="89" spans="1:18" x14ac:dyDescent="0.25">
      <c r="A89" s="653"/>
      <c r="B89" s="655"/>
      <c r="C89" s="381" t="s">
        <v>29</v>
      </c>
      <c r="D89" s="383">
        <f t="array" ref="D89">SUM(G89:R89*(MOD(COLUMN(G89:R89),3)=1))</f>
        <v>142.07674794238685</v>
      </c>
      <c r="E89" s="384">
        <f t="array" ref="E89">SUM(G89:R89*(MOD(COLUMN(G89:R89),3)=2))</f>
        <v>82.962962962962962</v>
      </c>
      <c r="F89" s="385">
        <f t="array" ref="F89">SUM(G89:R89*(MOD(COLUMN(G89:R89),3)=0))</f>
        <v>-59.113784979423876</v>
      </c>
      <c r="G89" s="399">
        <f t="shared" ref="G89:H89" si="47">(G8*G38)/12/21/7.5</f>
        <v>59.113784979423876</v>
      </c>
      <c r="H89" s="400">
        <f t="shared" si="47"/>
        <v>0</v>
      </c>
      <c r="I89" s="367">
        <f t="shared" si="33"/>
        <v>-59.113784979423876</v>
      </c>
      <c r="J89" s="399">
        <f t="shared" ref="J89:K89" si="48">(J8*J38)/12/21/7.5</f>
        <v>82.962962962962962</v>
      </c>
      <c r="K89" s="400">
        <f t="shared" si="48"/>
        <v>82.962962962962962</v>
      </c>
      <c r="L89" s="367">
        <f t="shared" si="34"/>
        <v>0</v>
      </c>
      <c r="M89" s="400">
        <f t="shared" ref="M89:N89" si="49">(M8*M38)/12/21/7.5</f>
        <v>0</v>
      </c>
      <c r="N89" s="400">
        <f t="shared" si="49"/>
        <v>0</v>
      </c>
      <c r="O89" s="367">
        <f t="shared" si="35"/>
        <v>0</v>
      </c>
      <c r="P89" s="400">
        <f t="shared" ref="P89:Q89" si="50">(P8*P38)/12/21/7.5</f>
        <v>0</v>
      </c>
      <c r="Q89" s="408">
        <f t="shared" si="50"/>
        <v>0</v>
      </c>
      <c r="R89" s="379">
        <f t="shared" si="36"/>
        <v>0</v>
      </c>
    </row>
    <row r="90" spans="1:18" x14ac:dyDescent="0.25">
      <c r="A90" s="653"/>
      <c r="B90" s="655"/>
      <c r="C90" s="381" t="s">
        <v>30</v>
      </c>
      <c r="D90" s="383">
        <f t="array" ref="D90">SUM(G90:R90*(MOD(COLUMN(G90:R90),3)=1))</f>
        <v>142.07674794238685</v>
      </c>
      <c r="E90" s="384">
        <f t="array" ref="E90">SUM(G90:R90*(MOD(COLUMN(G90:R90),3)=2))</f>
        <v>82.962962962962962</v>
      </c>
      <c r="F90" s="385">
        <f t="array" ref="F90">SUM(G90:R90*(MOD(COLUMN(G90:R90),3)=0))</f>
        <v>-59.113784979423876</v>
      </c>
      <c r="G90" s="399">
        <f t="shared" ref="G90:H90" si="51">(G9*G39)/12/21/7.5</f>
        <v>59.113784979423876</v>
      </c>
      <c r="H90" s="400">
        <f t="shared" si="51"/>
        <v>0</v>
      </c>
      <c r="I90" s="367">
        <f t="shared" si="33"/>
        <v>-59.113784979423876</v>
      </c>
      <c r="J90" s="399">
        <f t="shared" ref="J90:K90" si="52">(J9*J39)/12/21/7.5</f>
        <v>82.962962962962962</v>
      </c>
      <c r="K90" s="400">
        <f t="shared" si="52"/>
        <v>82.962962962962962</v>
      </c>
      <c r="L90" s="367">
        <f t="shared" si="34"/>
        <v>0</v>
      </c>
      <c r="M90" s="400">
        <f t="shared" ref="M90:N90" si="53">(M9*M39)/12/21/7.5</f>
        <v>0</v>
      </c>
      <c r="N90" s="400">
        <f t="shared" si="53"/>
        <v>0</v>
      </c>
      <c r="O90" s="367">
        <f t="shared" si="35"/>
        <v>0</v>
      </c>
      <c r="P90" s="400">
        <f t="shared" ref="P90:Q90" si="54">(P9*P39)/12/21/7.5</f>
        <v>0</v>
      </c>
      <c r="Q90" s="408">
        <f t="shared" si="54"/>
        <v>0</v>
      </c>
      <c r="R90" s="379">
        <f t="shared" si="36"/>
        <v>0</v>
      </c>
    </row>
    <row r="91" spans="1:18" x14ac:dyDescent="0.25">
      <c r="A91" s="653"/>
      <c r="B91" s="655"/>
      <c r="C91" s="381" t="s">
        <v>31</v>
      </c>
      <c r="D91" s="383">
        <f t="array" ref="D91">SUM(G91:R91*(MOD(COLUMN(G91:R91),3)=1))</f>
        <v>142.07674794238685</v>
      </c>
      <c r="E91" s="384">
        <f t="array" ref="E91">SUM(G91:R91*(MOD(COLUMN(G91:R91),3)=2))</f>
        <v>82.962962962962962</v>
      </c>
      <c r="F91" s="385">
        <f t="array" ref="F91">SUM(G91:R91*(MOD(COLUMN(G91:R91),3)=0))</f>
        <v>-59.113784979423876</v>
      </c>
      <c r="G91" s="399">
        <f t="shared" ref="G91:H91" si="55">(G10*G40)/12/21/7.5</f>
        <v>59.113784979423876</v>
      </c>
      <c r="H91" s="400">
        <f t="shared" si="55"/>
        <v>0</v>
      </c>
      <c r="I91" s="367">
        <f t="shared" si="33"/>
        <v>-59.113784979423876</v>
      </c>
      <c r="J91" s="399">
        <f t="shared" ref="J91:K91" si="56">(J10*J40)/12/21/7.5</f>
        <v>82.962962962962962</v>
      </c>
      <c r="K91" s="400">
        <f t="shared" si="56"/>
        <v>82.962962962962962</v>
      </c>
      <c r="L91" s="367">
        <f t="shared" si="34"/>
        <v>0</v>
      </c>
      <c r="M91" s="400">
        <f t="shared" ref="M91:N91" si="57">(M10*M40)/12/21/7.5</f>
        <v>0</v>
      </c>
      <c r="N91" s="400">
        <f t="shared" si="57"/>
        <v>0</v>
      </c>
      <c r="O91" s="367">
        <f t="shared" si="35"/>
        <v>0</v>
      </c>
      <c r="P91" s="400">
        <f t="shared" ref="P91:Q91" si="58">(P10*P40)/12/21/7.5</f>
        <v>0</v>
      </c>
      <c r="Q91" s="408">
        <f t="shared" si="58"/>
        <v>0</v>
      </c>
      <c r="R91" s="379">
        <f t="shared" si="36"/>
        <v>0</v>
      </c>
    </row>
    <row r="92" spans="1:18" x14ac:dyDescent="0.25">
      <c r="A92" s="653"/>
      <c r="B92" s="655"/>
      <c r="C92" s="381" t="s">
        <v>32</v>
      </c>
      <c r="D92" s="383">
        <f t="array" ref="D92">SUM(G92:R92*(MOD(COLUMN(G92:R92),3)=1))</f>
        <v>142.07674794238685</v>
      </c>
      <c r="E92" s="384">
        <f t="array" ref="E92">SUM(G92:R92*(MOD(COLUMN(G92:R92),3)=2))</f>
        <v>82.962962962962962</v>
      </c>
      <c r="F92" s="385">
        <f t="array" ref="F92">SUM(G92:R92*(MOD(COLUMN(G92:R92),3)=0))</f>
        <v>-59.113784979423876</v>
      </c>
      <c r="G92" s="399">
        <f t="shared" ref="G92:H92" si="59">(G11*G41)/12/21/7.5</f>
        <v>59.113784979423876</v>
      </c>
      <c r="H92" s="400">
        <f t="shared" si="59"/>
        <v>0</v>
      </c>
      <c r="I92" s="367">
        <f t="shared" si="33"/>
        <v>-59.113784979423876</v>
      </c>
      <c r="J92" s="399">
        <f t="shared" ref="J92:K92" si="60">(J11*J41)/12/21/7.5</f>
        <v>82.962962962962962</v>
      </c>
      <c r="K92" s="400">
        <f t="shared" si="60"/>
        <v>82.962962962962962</v>
      </c>
      <c r="L92" s="367">
        <f t="shared" si="34"/>
        <v>0</v>
      </c>
      <c r="M92" s="400">
        <f t="shared" ref="M92:N92" si="61">(M11*M41)/12/21/7.5</f>
        <v>0</v>
      </c>
      <c r="N92" s="400">
        <f t="shared" si="61"/>
        <v>0</v>
      </c>
      <c r="O92" s="367">
        <f t="shared" si="35"/>
        <v>0</v>
      </c>
      <c r="P92" s="400">
        <f t="shared" ref="P92:Q92" si="62">(P11*P41)/12/21/7.5</f>
        <v>0</v>
      </c>
      <c r="Q92" s="408">
        <f t="shared" si="62"/>
        <v>0</v>
      </c>
      <c r="R92" s="379">
        <f t="shared" si="36"/>
        <v>0</v>
      </c>
    </row>
    <row r="93" spans="1:18" x14ac:dyDescent="0.25">
      <c r="A93" s="653"/>
      <c r="B93" s="655"/>
      <c r="C93" s="381" t="s">
        <v>33</v>
      </c>
      <c r="D93" s="383">
        <f t="array" ref="D93">SUM(G93:R93*(MOD(COLUMN(G93:R93),3)=1))</f>
        <v>142.07674794238685</v>
      </c>
      <c r="E93" s="384">
        <f t="array" ref="E93">SUM(G93:R93*(MOD(COLUMN(G93:R93),3)=2))</f>
        <v>82.962962962962962</v>
      </c>
      <c r="F93" s="385">
        <f t="array" ref="F93">SUM(G93:R93*(MOD(COLUMN(G93:R93),3)=0))</f>
        <v>-59.113784979423876</v>
      </c>
      <c r="G93" s="399">
        <f t="shared" ref="G93:H93" si="63">(G12*G42)/12/21/7.5</f>
        <v>59.113784979423876</v>
      </c>
      <c r="H93" s="400">
        <f t="shared" si="63"/>
        <v>0</v>
      </c>
      <c r="I93" s="367">
        <f t="shared" si="33"/>
        <v>-59.113784979423876</v>
      </c>
      <c r="J93" s="399">
        <f t="shared" ref="J93:K93" si="64">(J12*J42)/12/21/7.5</f>
        <v>82.962962962962962</v>
      </c>
      <c r="K93" s="400">
        <f t="shared" si="64"/>
        <v>82.962962962962962</v>
      </c>
      <c r="L93" s="367">
        <f t="shared" si="34"/>
        <v>0</v>
      </c>
      <c r="M93" s="400">
        <f t="shared" ref="M93:N93" si="65">(M12*M42)/12/21/7.5</f>
        <v>0</v>
      </c>
      <c r="N93" s="400">
        <f t="shared" si="65"/>
        <v>0</v>
      </c>
      <c r="O93" s="367">
        <f t="shared" si="35"/>
        <v>0</v>
      </c>
      <c r="P93" s="400">
        <f t="shared" ref="P93:Q93" si="66">(P12*P42)/12/21/7.5</f>
        <v>0</v>
      </c>
      <c r="Q93" s="408">
        <f t="shared" si="66"/>
        <v>0</v>
      </c>
      <c r="R93" s="379">
        <f t="shared" si="36"/>
        <v>0</v>
      </c>
    </row>
    <row r="94" spans="1:18" x14ac:dyDescent="0.25">
      <c r="A94" s="653"/>
      <c r="B94" s="655"/>
      <c r="C94" s="381" t="s">
        <v>34</v>
      </c>
      <c r="D94" s="383">
        <f t="array" ref="D94">SUM(G94:R94*(MOD(COLUMN(G94:R94),3)=1))</f>
        <v>142.07674794238685</v>
      </c>
      <c r="E94" s="384">
        <f t="array" ref="E94">SUM(G94:R94*(MOD(COLUMN(G94:R94),3)=2))</f>
        <v>82.962962962962962</v>
      </c>
      <c r="F94" s="385">
        <f t="array" ref="F94">SUM(G94:R94*(MOD(COLUMN(G94:R94),3)=0))</f>
        <v>-59.113784979423876</v>
      </c>
      <c r="G94" s="399">
        <f t="shared" ref="G94:H94" si="67">(G13*G43)/12/21/7.5</f>
        <v>59.113784979423876</v>
      </c>
      <c r="H94" s="400">
        <f t="shared" si="67"/>
        <v>0</v>
      </c>
      <c r="I94" s="367">
        <f t="shared" si="33"/>
        <v>-59.113784979423876</v>
      </c>
      <c r="J94" s="399">
        <f t="shared" ref="J94:K94" si="68">(J13*J43)/12/21/7.5</f>
        <v>82.962962962962962</v>
      </c>
      <c r="K94" s="400">
        <f t="shared" si="68"/>
        <v>82.962962962962962</v>
      </c>
      <c r="L94" s="367">
        <f t="shared" si="34"/>
        <v>0</v>
      </c>
      <c r="M94" s="400">
        <f t="shared" ref="M94:N94" si="69">(M13*M43)/12/21/7.5</f>
        <v>0</v>
      </c>
      <c r="N94" s="400">
        <f t="shared" si="69"/>
        <v>0</v>
      </c>
      <c r="O94" s="367">
        <f t="shared" si="35"/>
        <v>0</v>
      </c>
      <c r="P94" s="400">
        <f t="shared" ref="P94:Q94" si="70">(P13*P43)/12/21/7.5</f>
        <v>0</v>
      </c>
      <c r="Q94" s="408">
        <f t="shared" si="70"/>
        <v>0</v>
      </c>
      <c r="R94" s="379">
        <f t="shared" si="36"/>
        <v>0</v>
      </c>
    </row>
    <row r="95" spans="1:18" ht="15.75" thickBot="1" x14ac:dyDescent="0.3">
      <c r="A95" s="654"/>
      <c r="B95" s="656"/>
      <c r="C95" s="382" t="s">
        <v>35</v>
      </c>
      <c r="D95" s="386">
        <f t="array" ref="D95">SUM(G95:R95*(MOD(COLUMN(G95:R95),3)=1))</f>
        <v>142.07674794238685</v>
      </c>
      <c r="E95" s="387">
        <f t="array" ref="E95">SUM(G95:R95*(MOD(COLUMN(G95:R95),3)=2))</f>
        <v>82.962962962962962</v>
      </c>
      <c r="F95" s="388">
        <f t="array" ref="F95">SUM(G95:R95*(MOD(COLUMN(G95:R95),3)=0))</f>
        <v>-59.113784979423876</v>
      </c>
      <c r="G95" s="401">
        <f t="shared" ref="G95:H95" si="71">(G14*G44)/12/21/7.5</f>
        <v>59.113784979423876</v>
      </c>
      <c r="H95" s="402">
        <f t="shared" si="71"/>
        <v>0</v>
      </c>
      <c r="I95" s="368">
        <f t="shared" si="33"/>
        <v>-59.113784979423876</v>
      </c>
      <c r="J95" s="401">
        <f t="shared" ref="J95:K95" si="72">(J14*J44)/12/21/7.5</f>
        <v>82.962962962962962</v>
      </c>
      <c r="K95" s="402">
        <f t="shared" si="72"/>
        <v>82.962962962962962</v>
      </c>
      <c r="L95" s="368">
        <f t="shared" si="34"/>
        <v>0</v>
      </c>
      <c r="M95" s="402">
        <f t="shared" ref="M95:N95" si="73">(M14*M44)/12/21/7.5</f>
        <v>0</v>
      </c>
      <c r="N95" s="402">
        <f t="shared" si="73"/>
        <v>0</v>
      </c>
      <c r="O95" s="368">
        <f t="shared" si="35"/>
        <v>0</v>
      </c>
      <c r="P95" s="402">
        <f t="shared" ref="P95:Q95" si="74">(P14*P44)/12/21/7.5</f>
        <v>0</v>
      </c>
      <c r="Q95" s="409">
        <f t="shared" si="74"/>
        <v>0</v>
      </c>
      <c r="R95" s="380">
        <f t="shared" si="36"/>
        <v>0</v>
      </c>
    </row>
    <row r="96" spans="1:18" x14ac:dyDescent="0.25">
      <c r="A96" s="653" t="s">
        <v>393</v>
      </c>
      <c r="B96" s="655" t="s">
        <v>12</v>
      </c>
      <c r="C96" s="381" t="s">
        <v>26</v>
      </c>
      <c r="D96" s="457">
        <f t="array" ref="D96">SUM(G96:R96*(MOD(COLUMN(G96:R96),3)=1))</f>
        <v>0</v>
      </c>
      <c r="E96" s="458">
        <f t="array" ref="E96">SUM(G96:R96*(MOD(COLUMN(G96:R96),3)=2))</f>
        <v>0</v>
      </c>
      <c r="F96" s="459">
        <f t="array" ref="F96">SUM(G96:R96*(MOD(COLUMN(G96:R96),3)=0))</f>
        <v>0</v>
      </c>
      <c r="G96" s="395">
        <v>0</v>
      </c>
      <c r="H96" s="395">
        <f>(G66+I66/2)*((G45-H45)*(1+$S$45))*Faktory!$D$10</f>
        <v>0</v>
      </c>
      <c r="I96" s="358">
        <f>H96</f>
        <v>0</v>
      </c>
      <c r="J96" s="395">
        <v>0</v>
      </c>
      <c r="K96" s="395">
        <f>(J66+L66/2)*((J45-K45)*(1+$S$45))*Faktory!$D$10</f>
        <v>0</v>
      </c>
      <c r="L96" s="358">
        <f>K96</f>
        <v>0</v>
      </c>
      <c r="M96" s="396">
        <v>0</v>
      </c>
      <c r="N96" s="395">
        <f>(M66+O66/2)*((M45-N45)*(1+$S$45))*Faktory!$D$10</f>
        <v>0</v>
      </c>
      <c r="O96" s="358">
        <f>N96</f>
        <v>0</v>
      </c>
      <c r="P96" s="396">
        <v>0</v>
      </c>
      <c r="Q96" s="395">
        <f>(P66+R66/2)*((P45-Q45)*(1+$S$45))*Faktory!$D$10</f>
        <v>0</v>
      </c>
      <c r="R96" s="377">
        <f>Q96</f>
        <v>0</v>
      </c>
    </row>
    <row r="97" spans="1:18" x14ac:dyDescent="0.25">
      <c r="A97" s="653"/>
      <c r="B97" s="655"/>
      <c r="C97" s="381" t="s">
        <v>27</v>
      </c>
      <c r="D97" s="383">
        <f t="array" ref="D97">SUM(G97:R97*(MOD(COLUMN(G97:R97),3)=1))</f>
        <v>0</v>
      </c>
      <c r="E97" s="384">
        <f t="array" ref="E97">SUM(G97:R97*(MOD(COLUMN(G97:R97),3)=2))</f>
        <v>0</v>
      </c>
      <c r="F97" s="385">
        <f t="array" ref="F97">SUM(G97:R97*(MOD(COLUMN(G97:R97),3)=0))</f>
        <v>0</v>
      </c>
      <c r="G97" s="391">
        <v>0</v>
      </c>
      <c r="H97" s="391">
        <f>(G67+I67/2)*((G46-H46)*(1+$S$45))*Faktory!$D$10</f>
        <v>0</v>
      </c>
      <c r="I97" s="359">
        <f t="shared" ref="I97:I105" si="75">H97</f>
        <v>0</v>
      </c>
      <c r="J97" s="391">
        <v>0</v>
      </c>
      <c r="K97" s="391">
        <f>(J67+L67/2)*((J46-K46)*(1+$S$45))*Faktory!$D$10</f>
        <v>0</v>
      </c>
      <c r="L97" s="359">
        <f t="shared" ref="L97:L105" si="76">K97</f>
        <v>0</v>
      </c>
      <c r="M97" s="392">
        <v>0</v>
      </c>
      <c r="N97" s="391">
        <f>(M67+O67/2)*((M46-N46)*(1+$S$45))*Faktory!$D$10</f>
        <v>0</v>
      </c>
      <c r="O97" s="359">
        <f t="shared" ref="O97:O105" si="77">N97</f>
        <v>0</v>
      </c>
      <c r="P97" s="392">
        <v>0</v>
      </c>
      <c r="Q97" s="391">
        <f>(P67+R67/2)*((P46-Q46)*(1+$S$45))*Faktory!$D$10</f>
        <v>0</v>
      </c>
      <c r="R97" s="370">
        <f t="shared" ref="R97:R105" si="78">Q97</f>
        <v>0</v>
      </c>
    </row>
    <row r="98" spans="1:18" x14ac:dyDescent="0.25">
      <c r="A98" s="653"/>
      <c r="B98" s="655"/>
      <c r="C98" s="381" t="s">
        <v>28</v>
      </c>
      <c r="D98" s="383">
        <f t="array" ref="D98">SUM(G98:R98*(MOD(COLUMN(G98:R98),3)=1))</f>
        <v>0</v>
      </c>
      <c r="E98" s="384">
        <f t="array" ref="E98">SUM(G98:R98*(MOD(COLUMN(G98:R98),3)=2))</f>
        <v>0</v>
      </c>
      <c r="F98" s="385">
        <f t="array" ref="F98">SUM(G98:R98*(MOD(COLUMN(G98:R98),3)=0))</f>
        <v>0</v>
      </c>
      <c r="G98" s="391">
        <v>0</v>
      </c>
      <c r="H98" s="391">
        <f>(G68+I68/2)*((G47-H47)*(1+$S$45))*Faktory!$D$10</f>
        <v>0</v>
      </c>
      <c r="I98" s="359">
        <f t="shared" si="75"/>
        <v>0</v>
      </c>
      <c r="J98" s="391">
        <v>0</v>
      </c>
      <c r="K98" s="391">
        <f>(J68+L68/2)*((J47-K47)*(1+$S$45))*Faktory!$D$10</f>
        <v>0</v>
      </c>
      <c r="L98" s="359">
        <f t="shared" si="76"/>
        <v>0</v>
      </c>
      <c r="M98" s="392">
        <v>0</v>
      </c>
      <c r="N98" s="391">
        <f>(M68+O68/2)*((M47-N47)*(1+$S$45))*Faktory!$D$39</f>
        <v>0</v>
      </c>
      <c r="O98" s="359">
        <f t="shared" si="77"/>
        <v>0</v>
      </c>
      <c r="P98" s="392">
        <v>0</v>
      </c>
      <c r="Q98" s="391">
        <f>(P68+R68/2)*((P47-Q47)*(1+$S$45))*Faktory!$D$10</f>
        <v>0</v>
      </c>
      <c r="R98" s="370">
        <f t="shared" si="78"/>
        <v>0</v>
      </c>
    </row>
    <row r="99" spans="1:18" x14ac:dyDescent="0.25">
      <c r="A99" s="653"/>
      <c r="B99" s="655"/>
      <c r="C99" s="381" t="s">
        <v>29</v>
      </c>
      <c r="D99" s="383">
        <f t="array" ref="D99">SUM(G99:R99*(MOD(COLUMN(G99:R99),3)=1))</f>
        <v>0</v>
      </c>
      <c r="E99" s="384">
        <f t="array" ref="E99">SUM(G99:R99*(MOD(COLUMN(G99:R99),3)=2))</f>
        <v>0</v>
      </c>
      <c r="F99" s="385">
        <f t="array" ref="F99">SUM(G99:R99*(MOD(COLUMN(G99:R99),3)=0))</f>
        <v>0</v>
      </c>
      <c r="G99" s="391">
        <v>0</v>
      </c>
      <c r="H99" s="391">
        <f>(G69+I69/2)*((G48-H48)*(1+$S$45))*Faktory!$D$10</f>
        <v>0</v>
      </c>
      <c r="I99" s="359">
        <f t="shared" si="75"/>
        <v>0</v>
      </c>
      <c r="J99" s="391">
        <v>0</v>
      </c>
      <c r="K99" s="391">
        <f>(J69+L69/2)*((J48-K48)*(1+$S$45))*Faktory!$D$10</f>
        <v>0</v>
      </c>
      <c r="L99" s="359">
        <f t="shared" si="76"/>
        <v>0</v>
      </c>
      <c r="M99" s="392">
        <v>0</v>
      </c>
      <c r="N99" s="391">
        <f>(M69+O69/2)*((M48-N48)*(1+$S$45))*Faktory!$D$39</f>
        <v>0</v>
      </c>
      <c r="O99" s="359">
        <f t="shared" si="77"/>
        <v>0</v>
      </c>
      <c r="P99" s="392">
        <v>0</v>
      </c>
      <c r="Q99" s="391">
        <f>(P69+R69/2)*((P48-Q48)*(1+$S$45))*Faktory!$D$10</f>
        <v>0</v>
      </c>
      <c r="R99" s="370">
        <f t="shared" si="78"/>
        <v>0</v>
      </c>
    </row>
    <row r="100" spans="1:18" x14ac:dyDescent="0.25">
      <c r="A100" s="653"/>
      <c r="B100" s="655"/>
      <c r="C100" s="381" t="s">
        <v>30</v>
      </c>
      <c r="D100" s="383">
        <f t="array" ref="D100">SUM(G100:R100*(MOD(COLUMN(G100:R100),3)=1))</f>
        <v>0</v>
      </c>
      <c r="E100" s="384">
        <f t="array" ref="E100">SUM(G100:R100*(MOD(COLUMN(G100:R100),3)=2))</f>
        <v>0</v>
      </c>
      <c r="F100" s="385">
        <f t="array" ref="F100">SUM(G100:R100*(MOD(COLUMN(G100:R100),3)=0))</f>
        <v>0</v>
      </c>
      <c r="G100" s="391">
        <v>0</v>
      </c>
      <c r="H100" s="391">
        <f>(G70+I70/2)*((G49-H49)*(1+$S$45))*Faktory!$D$10</f>
        <v>0</v>
      </c>
      <c r="I100" s="359">
        <f t="shared" si="75"/>
        <v>0</v>
      </c>
      <c r="J100" s="391">
        <v>0</v>
      </c>
      <c r="K100" s="391">
        <f>(J70+L70/2)*((J49-K49)*(1+$S$45))*Faktory!$D$10</f>
        <v>0</v>
      </c>
      <c r="L100" s="359">
        <f t="shared" si="76"/>
        <v>0</v>
      </c>
      <c r="M100" s="392">
        <v>0</v>
      </c>
      <c r="N100" s="391">
        <f>(M70+O70/2)*((M49-N49)*(1+$S$45))*Faktory!$D$39</f>
        <v>0</v>
      </c>
      <c r="O100" s="359">
        <f t="shared" si="77"/>
        <v>0</v>
      </c>
      <c r="P100" s="392">
        <v>0</v>
      </c>
      <c r="Q100" s="391">
        <f>(P70+R70/2)*((P49-Q49)*(1+$S$45))*Faktory!$D$10</f>
        <v>0</v>
      </c>
      <c r="R100" s="370">
        <f t="shared" si="78"/>
        <v>0</v>
      </c>
    </row>
    <row r="101" spans="1:18" x14ac:dyDescent="0.25">
      <c r="A101" s="653"/>
      <c r="B101" s="655"/>
      <c r="C101" s="381" t="s">
        <v>31</v>
      </c>
      <c r="D101" s="383">
        <f t="array" ref="D101">SUM(G101:R101*(MOD(COLUMN(G101:R101),3)=1))</f>
        <v>0</v>
      </c>
      <c r="E101" s="384">
        <f t="array" ref="E101">SUM(G101:R101*(MOD(COLUMN(G101:R101),3)=2))</f>
        <v>0</v>
      </c>
      <c r="F101" s="385">
        <f t="array" ref="F101">SUM(G101:R101*(MOD(COLUMN(G101:R101),3)=0))</f>
        <v>0</v>
      </c>
      <c r="G101" s="391">
        <v>0</v>
      </c>
      <c r="H101" s="391">
        <f>(G71+I71/2)*((G50-H50)*(1+$S$45))*Faktory!$D$10</f>
        <v>0</v>
      </c>
      <c r="I101" s="359">
        <f t="shared" si="75"/>
        <v>0</v>
      </c>
      <c r="J101" s="391">
        <v>0</v>
      </c>
      <c r="K101" s="391">
        <f>(J71+L71/2)*((J50-K50)*(1+$S$45))*Faktory!$D$10</f>
        <v>0</v>
      </c>
      <c r="L101" s="359">
        <f t="shared" si="76"/>
        <v>0</v>
      </c>
      <c r="M101" s="392">
        <v>0</v>
      </c>
      <c r="N101" s="391">
        <f>(M71+O71/2)*((M50-N50)*(1+$S$45))*Faktory!$D$39</f>
        <v>0</v>
      </c>
      <c r="O101" s="359">
        <f t="shared" si="77"/>
        <v>0</v>
      </c>
      <c r="P101" s="392">
        <v>0</v>
      </c>
      <c r="Q101" s="391">
        <f>(P71+R71/2)*((P50-Q50)*(1+$S$45))*Faktory!$D$10</f>
        <v>0</v>
      </c>
      <c r="R101" s="370">
        <f t="shared" si="78"/>
        <v>0</v>
      </c>
    </row>
    <row r="102" spans="1:18" x14ac:dyDescent="0.25">
      <c r="A102" s="653"/>
      <c r="B102" s="655"/>
      <c r="C102" s="381" t="s">
        <v>32</v>
      </c>
      <c r="D102" s="383">
        <f t="array" ref="D102">SUM(G102:R102*(MOD(COLUMN(G102:R102),3)=1))</f>
        <v>0</v>
      </c>
      <c r="E102" s="384">
        <f t="array" ref="E102">SUM(G102:R102*(MOD(COLUMN(G102:R102),3)=2))</f>
        <v>0</v>
      </c>
      <c r="F102" s="385">
        <f t="array" ref="F102">SUM(G102:R102*(MOD(COLUMN(G102:R102),3)=0))</f>
        <v>0</v>
      </c>
      <c r="G102" s="391">
        <v>0</v>
      </c>
      <c r="H102" s="391">
        <f>(G72+I72/2)*((G51-H51)*(1+$S$45))*Faktory!$D$10</f>
        <v>0</v>
      </c>
      <c r="I102" s="359">
        <f t="shared" si="75"/>
        <v>0</v>
      </c>
      <c r="J102" s="391">
        <v>0</v>
      </c>
      <c r="K102" s="391">
        <f>(J72+L72/2)*((J51-K51)*(1+$S$45))*Faktory!$D$10</f>
        <v>0</v>
      </c>
      <c r="L102" s="359">
        <f t="shared" si="76"/>
        <v>0</v>
      </c>
      <c r="M102" s="392">
        <v>0</v>
      </c>
      <c r="N102" s="391">
        <f>(M72+O72/2)*((M51-N51)*(1+$S$45))*Faktory!$D$39</f>
        <v>0</v>
      </c>
      <c r="O102" s="359">
        <f t="shared" si="77"/>
        <v>0</v>
      </c>
      <c r="P102" s="392">
        <v>0</v>
      </c>
      <c r="Q102" s="391">
        <f>(P72+R72/2)*((P51-Q51)*(1+$S$45))*Faktory!$D$10</f>
        <v>0</v>
      </c>
      <c r="R102" s="370">
        <f t="shared" si="78"/>
        <v>0</v>
      </c>
    </row>
    <row r="103" spans="1:18" x14ac:dyDescent="0.25">
      <c r="A103" s="653"/>
      <c r="B103" s="655"/>
      <c r="C103" s="381" t="s">
        <v>33</v>
      </c>
      <c r="D103" s="383">
        <f t="array" ref="D103">SUM(G103:R103*(MOD(COLUMN(G103:R103),3)=1))</f>
        <v>0</v>
      </c>
      <c r="E103" s="384">
        <f t="array" ref="E103">SUM(G103:R103*(MOD(COLUMN(G103:R103),3)=2))</f>
        <v>0</v>
      </c>
      <c r="F103" s="385">
        <f t="array" ref="F103">SUM(G103:R103*(MOD(COLUMN(G103:R103),3)=0))</f>
        <v>0</v>
      </c>
      <c r="G103" s="391">
        <v>0</v>
      </c>
      <c r="H103" s="391">
        <f>(G73+I73/2)*((G52-H52)*(1+$S$45))*Faktory!$D$10</f>
        <v>0</v>
      </c>
      <c r="I103" s="359">
        <f t="shared" si="75"/>
        <v>0</v>
      </c>
      <c r="J103" s="391">
        <v>0</v>
      </c>
      <c r="K103" s="391">
        <f>(J73+L73/2)*((J52-K52)*(1+$S$45))*Faktory!$D$10</f>
        <v>0</v>
      </c>
      <c r="L103" s="359">
        <f t="shared" si="76"/>
        <v>0</v>
      </c>
      <c r="M103" s="392">
        <v>0</v>
      </c>
      <c r="N103" s="391">
        <f>(M73+O73/2)*((M52-N52)*(1+$S$45))*Faktory!$D$39</f>
        <v>0</v>
      </c>
      <c r="O103" s="359">
        <f t="shared" si="77"/>
        <v>0</v>
      </c>
      <c r="P103" s="392">
        <v>0</v>
      </c>
      <c r="Q103" s="391">
        <f>(P73+R73/2)*((P52-Q52)*(1+$S$45))*Faktory!$D$10</f>
        <v>0</v>
      </c>
      <c r="R103" s="370">
        <f t="shared" si="78"/>
        <v>0</v>
      </c>
    </row>
    <row r="104" spans="1:18" x14ac:dyDescent="0.25">
      <c r="A104" s="653"/>
      <c r="B104" s="655"/>
      <c r="C104" s="381" t="s">
        <v>34</v>
      </c>
      <c r="D104" s="383">
        <f t="array" ref="D104">SUM(G104:R104*(MOD(COLUMN(G104:R104),3)=1))</f>
        <v>0</v>
      </c>
      <c r="E104" s="384">
        <f t="array" ref="E104">SUM(G104:R104*(MOD(COLUMN(G104:R104),3)=2))</f>
        <v>0</v>
      </c>
      <c r="F104" s="385">
        <f t="array" ref="F104">SUM(G104:R104*(MOD(COLUMN(G104:R104),3)=0))</f>
        <v>0</v>
      </c>
      <c r="G104" s="391">
        <v>0</v>
      </c>
      <c r="H104" s="391">
        <f>(G74+I74/2)*((G53-H53)*(1+$S$45))*Faktory!$D$10</f>
        <v>0</v>
      </c>
      <c r="I104" s="359">
        <f t="shared" si="75"/>
        <v>0</v>
      </c>
      <c r="J104" s="391">
        <v>0</v>
      </c>
      <c r="K104" s="391">
        <f>(J74+L74/2)*((J53-K53)*(1+$S$45))*Faktory!$D$10</f>
        <v>0</v>
      </c>
      <c r="L104" s="359">
        <f t="shared" si="76"/>
        <v>0</v>
      </c>
      <c r="M104" s="392">
        <v>0</v>
      </c>
      <c r="N104" s="391">
        <f>(M74+O74/2)*((M53-N53)*(1+$S$45))*Faktory!$D$39</f>
        <v>0</v>
      </c>
      <c r="O104" s="359">
        <f t="shared" si="77"/>
        <v>0</v>
      </c>
      <c r="P104" s="392">
        <v>0</v>
      </c>
      <c r="Q104" s="391">
        <f>(P74+R74/2)*((P53-Q53)*(1+$S$45))*Faktory!$D$10</f>
        <v>0</v>
      </c>
      <c r="R104" s="370">
        <f t="shared" si="78"/>
        <v>0</v>
      </c>
    </row>
    <row r="105" spans="1:18" ht="15.75" thickBot="1" x14ac:dyDescent="0.3">
      <c r="A105" s="654"/>
      <c r="B105" s="656"/>
      <c r="C105" s="382" t="s">
        <v>35</v>
      </c>
      <c r="D105" s="386">
        <f t="array" ref="D105">SUM(G105:R105*(MOD(COLUMN(G105:R105),3)=1))</f>
        <v>0</v>
      </c>
      <c r="E105" s="387">
        <f t="array" ref="E105">SUM(G105:R105*(MOD(COLUMN(G105:R105),3)=2))</f>
        <v>0</v>
      </c>
      <c r="F105" s="388">
        <f t="array" ref="F105">SUM(G105:R105*(MOD(COLUMN(G105:R105),3)=0))</f>
        <v>0</v>
      </c>
      <c r="G105" s="393">
        <v>0</v>
      </c>
      <c r="H105" s="393">
        <f>(G75+I75/2)*((G54-H54)*(1+$S$45))*Faktory!$D$10</f>
        <v>0</v>
      </c>
      <c r="I105" s="360">
        <f t="shared" si="75"/>
        <v>0</v>
      </c>
      <c r="J105" s="393">
        <v>0</v>
      </c>
      <c r="K105" s="393">
        <f>(J75+L75/2)*((J54-K54)*(1+$S$45))*Faktory!$D$10</f>
        <v>0</v>
      </c>
      <c r="L105" s="360">
        <f t="shared" si="76"/>
        <v>0</v>
      </c>
      <c r="M105" s="394">
        <v>0</v>
      </c>
      <c r="N105" s="391">
        <f>(M75+O75/2)*((M54-N54)*(1+$S$45))*Faktory!$D$39</f>
        <v>0</v>
      </c>
      <c r="O105" s="360">
        <f t="shared" si="77"/>
        <v>0</v>
      </c>
      <c r="P105" s="394">
        <v>0</v>
      </c>
      <c r="Q105" s="393">
        <f>(P75+R75/2)*((P54-Q54)*(1+$S$45))*Faktory!$D$10</f>
        <v>0</v>
      </c>
      <c r="R105" s="371">
        <f t="shared" si="78"/>
        <v>0</v>
      </c>
    </row>
    <row r="106" spans="1:18" x14ac:dyDescent="0.25">
      <c r="A106" s="653" t="s">
        <v>147</v>
      </c>
      <c r="B106" s="655" t="s">
        <v>12</v>
      </c>
      <c r="C106" s="381" t="s">
        <v>26</v>
      </c>
      <c r="D106" s="457">
        <f t="array" ref="D106">SUM(G106:R106*(MOD(COLUMN(G106:R106),3)=1))</f>
        <v>433274.02913346863</v>
      </c>
      <c r="E106" s="458">
        <f t="array" ref="E106">SUM(G106:R106*(MOD(COLUMN(G106:R106),3)=2))</f>
        <v>433274.02913346863</v>
      </c>
      <c r="F106" s="459">
        <f t="array" ref="F106">SUM(G106:R106*(MOD(COLUMN(G106:R106),3)=0))</f>
        <v>0</v>
      </c>
      <c r="G106" s="395">
        <f t="shared" ref="G106:H115" si="79">G5*G15</f>
        <v>69592.459999999992</v>
      </c>
      <c r="H106" s="396">
        <f t="shared" si="79"/>
        <v>69592.459999999992</v>
      </c>
      <c r="I106" s="358">
        <f>H106-G106</f>
        <v>0</v>
      </c>
      <c r="J106" s="395">
        <f t="shared" ref="J106:K106" si="80">J5*J15</f>
        <v>363681.56913346867</v>
      </c>
      <c r="K106" s="396">
        <f t="shared" si="80"/>
        <v>363681.56913346867</v>
      </c>
      <c r="L106" s="358">
        <f>K106-J106</f>
        <v>0</v>
      </c>
      <c r="M106" s="396">
        <f t="shared" ref="M106:N115" si="81">M5*M15</f>
        <v>0</v>
      </c>
      <c r="N106" s="396">
        <f t="shared" si="81"/>
        <v>0</v>
      </c>
      <c r="O106" s="358">
        <f t="shared" ref="O106:O115" si="82">N106-M106</f>
        <v>0</v>
      </c>
      <c r="P106" s="396">
        <f t="shared" ref="P106:Q115" si="83">P5*P15</f>
        <v>0</v>
      </c>
      <c r="Q106" s="406">
        <f t="shared" si="83"/>
        <v>0</v>
      </c>
      <c r="R106" s="377">
        <f t="shared" ref="R106:R115" si="84">Q106-P106</f>
        <v>0</v>
      </c>
    </row>
    <row r="107" spans="1:18" x14ac:dyDescent="0.25">
      <c r="A107" s="653"/>
      <c r="B107" s="655"/>
      <c r="C107" s="381" t="s">
        <v>27</v>
      </c>
      <c r="D107" s="383">
        <f t="array" ref="D107">SUM(G107:R107*(MOD(COLUMN(G107:R107),3)=1))</f>
        <v>433274.02913346863</v>
      </c>
      <c r="E107" s="384">
        <f t="array" ref="E107">SUM(G107:R107*(MOD(COLUMN(G107:R107),3)=2))</f>
        <v>433274.02913346863</v>
      </c>
      <c r="F107" s="385">
        <f t="array" ref="F107">SUM(G107:R107*(MOD(COLUMN(G107:R107),3)=0))</f>
        <v>0</v>
      </c>
      <c r="G107" s="391">
        <f t="shared" si="79"/>
        <v>69592.459999999992</v>
      </c>
      <c r="H107" s="392">
        <f t="shared" si="79"/>
        <v>69592.459999999992</v>
      </c>
      <c r="I107" s="359">
        <f t="shared" ref="I107:I115" si="85">H107-G107</f>
        <v>0</v>
      </c>
      <c r="J107" s="391">
        <f t="shared" ref="J107:K107" si="86">J6*J16</f>
        <v>363681.56913346867</v>
      </c>
      <c r="K107" s="392">
        <f t="shared" si="86"/>
        <v>363681.56913346867</v>
      </c>
      <c r="L107" s="359">
        <f t="shared" ref="L107:L115" si="87">K107-J107</f>
        <v>0</v>
      </c>
      <c r="M107" s="392">
        <f t="shared" si="81"/>
        <v>0</v>
      </c>
      <c r="N107" s="392">
        <f t="shared" si="81"/>
        <v>0</v>
      </c>
      <c r="O107" s="359">
        <f t="shared" si="82"/>
        <v>0</v>
      </c>
      <c r="P107" s="392">
        <f t="shared" si="83"/>
        <v>0</v>
      </c>
      <c r="Q107" s="404">
        <f t="shared" si="83"/>
        <v>0</v>
      </c>
      <c r="R107" s="370">
        <f t="shared" si="84"/>
        <v>0</v>
      </c>
    </row>
    <row r="108" spans="1:18" x14ac:dyDescent="0.25">
      <c r="A108" s="653"/>
      <c r="B108" s="655"/>
      <c r="C108" s="381" t="s">
        <v>28</v>
      </c>
      <c r="D108" s="383">
        <f t="array" ref="D108">SUM(G108:R108*(MOD(COLUMN(G108:R108),3)=1))</f>
        <v>433274.02913346863</v>
      </c>
      <c r="E108" s="384">
        <f t="array" ref="E108">SUM(G108:R108*(MOD(COLUMN(G108:R108),3)=2))</f>
        <v>363681.56913346867</v>
      </c>
      <c r="F108" s="385">
        <f t="array" ref="F108">SUM(G108:R108*(MOD(COLUMN(G108:R108),3)=0))</f>
        <v>-69592.459999999992</v>
      </c>
      <c r="G108" s="391">
        <f t="shared" si="79"/>
        <v>69592.459999999992</v>
      </c>
      <c r="H108" s="392">
        <f t="shared" si="79"/>
        <v>0</v>
      </c>
      <c r="I108" s="359">
        <f t="shared" si="85"/>
        <v>-69592.459999999992</v>
      </c>
      <c r="J108" s="391">
        <f t="shared" ref="J108:K108" si="88">J7*J17</f>
        <v>363681.56913346867</v>
      </c>
      <c r="K108" s="392">
        <f t="shared" si="88"/>
        <v>363681.56913346867</v>
      </c>
      <c r="L108" s="359">
        <f t="shared" si="87"/>
        <v>0</v>
      </c>
      <c r="M108" s="392">
        <f t="shared" si="81"/>
        <v>0</v>
      </c>
      <c r="N108" s="392">
        <f t="shared" si="81"/>
        <v>0</v>
      </c>
      <c r="O108" s="359">
        <f t="shared" si="82"/>
        <v>0</v>
      </c>
      <c r="P108" s="392">
        <f t="shared" si="83"/>
        <v>0</v>
      </c>
      <c r="Q108" s="404">
        <f t="shared" si="83"/>
        <v>0</v>
      </c>
      <c r="R108" s="370">
        <f t="shared" si="84"/>
        <v>0</v>
      </c>
    </row>
    <row r="109" spans="1:18" x14ac:dyDescent="0.25">
      <c r="A109" s="653"/>
      <c r="B109" s="655"/>
      <c r="C109" s="381" t="s">
        <v>29</v>
      </c>
      <c r="D109" s="383">
        <f t="array" ref="D109">SUM(G109:R109*(MOD(COLUMN(G109:R109),3)=1))</f>
        <v>433274.02913346863</v>
      </c>
      <c r="E109" s="384">
        <f t="array" ref="E109">SUM(G109:R109*(MOD(COLUMN(G109:R109),3)=2))</f>
        <v>363681.56913346867</v>
      </c>
      <c r="F109" s="385">
        <f t="array" ref="F109">SUM(G109:R109*(MOD(COLUMN(G109:R109),3)=0))</f>
        <v>-69592.459999999992</v>
      </c>
      <c r="G109" s="391">
        <f t="shared" si="79"/>
        <v>69592.459999999992</v>
      </c>
      <c r="H109" s="392">
        <f t="shared" si="79"/>
        <v>0</v>
      </c>
      <c r="I109" s="359">
        <f t="shared" si="85"/>
        <v>-69592.459999999992</v>
      </c>
      <c r="J109" s="391">
        <f t="shared" ref="J109:K109" si="89">J8*J18</f>
        <v>363681.56913346867</v>
      </c>
      <c r="K109" s="392">
        <f t="shared" si="89"/>
        <v>363681.56913346867</v>
      </c>
      <c r="L109" s="359">
        <f t="shared" si="87"/>
        <v>0</v>
      </c>
      <c r="M109" s="392">
        <f t="shared" si="81"/>
        <v>0</v>
      </c>
      <c r="N109" s="392">
        <f t="shared" si="81"/>
        <v>0</v>
      </c>
      <c r="O109" s="359">
        <f t="shared" si="82"/>
        <v>0</v>
      </c>
      <c r="P109" s="392">
        <f t="shared" si="83"/>
        <v>0</v>
      </c>
      <c r="Q109" s="404">
        <f t="shared" si="83"/>
        <v>0</v>
      </c>
      <c r="R109" s="370">
        <f t="shared" si="84"/>
        <v>0</v>
      </c>
    </row>
    <row r="110" spans="1:18" x14ac:dyDescent="0.25">
      <c r="A110" s="653"/>
      <c r="B110" s="655"/>
      <c r="C110" s="381" t="s">
        <v>30</v>
      </c>
      <c r="D110" s="383">
        <f t="array" ref="D110">SUM(G110:R110*(MOD(COLUMN(G110:R110),3)=1))</f>
        <v>433274.02913346863</v>
      </c>
      <c r="E110" s="384">
        <f t="array" ref="E110">SUM(G110:R110*(MOD(COLUMN(G110:R110),3)=2))</f>
        <v>363681.56913346867</v>
      </c>
      <c r="F110" s="385">
        <f t="array" ref="F110">SUM(G110:R110*(MOD(COLUMN(G110:R110),3)=0))</f>
        <v>-69592.459999999992</v>
      </c>
      <c r="G110" s="391">
        <f t="shared" si="79"/>
        <v>69592.459999999992</v>
      </c>
      <c r="H110" s="392">
        <f t="shared" si="79"/>
        <v>0</v>
      </c>
      <c r="I110" s="359">
        <f t="shared" si="85"/>
        <v>-69592.459999999992</v>
      </c>
      <c r="J110" s="391">
        <f t="shared" ref="J110:K110" si="90">J9*J19</f>
        <v>363681.56913346867</v>
      </c>
      <c r="K110" s="392">
        <f t="shared" si="90"/>
        <v>363681.56913346867</v>
      </c>
      <c r="L110" s="359">
        <f t="shared" si="87"/>
        <v>0</v>
      </c>
      <c r="M110" s="392">
        <f t="shared" si="81"/>
        <v>0</v>
      </c>
      <c r="N110" s="392">
        <f t="shared" si="81"/>
        <v>0</v>
      </c>
      <c r="O110" s="359">
        <f t="shared" si="82"/>
        <v>0</v>
      </c>
      <c r="P110" s="392">
        <f t="shared" si="83"/>
        <v>0</v>
      </c>
      <c r="Q110" s="404">
        <f t="shared" si="83"/>
        <v>0</v>
      </c>
      <c r="R110" s="370">
        <f t="shared" si="84"/>
        <v>0</v>
      </c>
    </row>
    <row r="111" spans="1:18" x14ac:dyDescent="0.25">
      <c r="A111" s="653"/>
      <c r="B111" s="655"/>
      <c r="C111" s="381" t="s">
        <v>31</v>
      </c>
      <c r="D111" s="383">
        <f t="array" ref="D111">SUM(G111:R111*(MOD(COLUMN(G111:R111),3)=1))</f>
        <v>433274.02913346863</v>
      </c>
      <c r="E111" s="384">
        <f t="array" ref="E111">SUM(G111:R111*(MOD(COLUMN(G111:R111),3)=2))</f>
        <v>363681.56913346867</v>
      </c>
      <c r="F111" s="385">
        <f t="array" ref="F111">SUM(G111:R111*(MOD(COLUMN(G111:R111),3)=0))</f>
        <v>-69592.459999999992</v>
      </c>
      <c r="G111" s="391">
        <f t="shared" si="79"/>
        <v>69592.459999999992</v>
      </c>
      <c r="H111" s="392">
        <f t="shared" si="79"/>
        <v>0</v>
      </c>
      <c r="I111" s="359">
        <f t="shared" si="85"/>
        <v>-69592.459999999992</v>
      </c>
      <c r="J111" s="391">
        <f t="shared" ref="J111:K111" si="91">J10*J20</f>
        <v>363681.56913346867</v>
      </c>
      <c r="K111" s="392">
        <f t="shared" si="91"/>
        <v>363681.56913346867</v>
      </c>
      <c r="L111" s="359">
        <f t="shared" si="87"/>
        <v>0</v>
      </c>
      <c r="M111" s="392">
        <f t="shared" si="81"/>
        <v>0</v>
      </c>
      <c r="N111" s="392">
        <f t="shared" si="81"/>
        <v>0</v>
      </c>
      <c r="O111" s="359">
        <f t="shared" si="82"/>
        <v>0</v>
      </c>
      <c r="P111" s="392">
        <f t="shared" si="83"/>
        <v>0</v>
      </c>
      <c r="Q111" s="404">
        <f t="shared" si="83"/>
        <v>0</v>
      </c>
      <c r="R111" s="370">
        <f t="shared" si="84"/>
        <v>0</v>
      </c>
    </row>
    <row r="112" spans="1:18" x14ac:dyDescent="0.25">
      <c r="A112" s="653"/>
      <c r="B112" s="655"/>
      <c r="C112" s="381" t="s">
        <v>32</v>
      </c>
      <c r="D112" s="383">
        <f t="array" ref="D112">SUM(G112:R112*(MOD(COLUMN(G112:R112),3)=1))</f>
        <v>433274.02913346863</v>
      </c>
      <c r="E112" s="384">
        <f t="array" ref="E112">SUM(G112:R112*(MOD(COLUMN(G112:R112),3)=2))</f>
        <v>363681.56913346867</v>
      </c>
      <c r="F112" s="385">
        <f t="array" ref="F112">SUM(G112:R112*(MOD(COLUMN(G112:R112),3)=0))</f>
        <v>-69592.459999999992</v>
      </c>
      <c r="G112" s="391">
        <f t="shared" si="79"/>
        <v>69592.459999999992</v>
      </c>
      <c r="H112" s="392">
        <f t="shared" si="79"/>
        <v>0</v>
      </c>
      <c r="I112" s="359">
        <f t="shared" si="85"/>
        <v>-69592.459999999992</v>
      </c>
      <c r="J112" s="391">
        <f t="shared" ref="J112:K112" si="92">J11*J21</f>
        <v>363681.56913346867</v>
      </c>
      <c r="K112" s="392">
        <f t="shared" si="92"/>
        <v>363681.56913346867</v>
      </c>
      <c r="L112" s="359">
        <f t="shared" si="87"/>
        <v>0</v>
      </c>
      <c r="M112" s="392">
        <f t="shared" si="81"/>
        <v>0</v>
      </c>
      <c r="N112" s="392">
        <f t="shared" si="81"/>
        <v>0</v>
      </c>
      <c r="O112" s="359">
        <f t="shared" si="82"/>
        <v>0</v>
      </c>
      <c r="P112" s="392">
        <f t="shared" si="83"/>
        <v>0</v>
      </c>
      <c r="Q112" s="404">
        <f t="shared" si="83"/>
        <v>0</v>
      </c>
      <c r="R112" s="370">
        <f t="shared" si="84"/>
        <v>0</v>
      </c>
    </row>
    <row r="113" spans="1:19" x14ac:dyDescent="0.25">
      <c r="A113" s="653"/>
      <c r="B113" s="655"/>
      <c r="C113" s="381" t="s">
        <v>33</v>
      </c>
      <c r="D113" s="383">
        <f t="array" ref="D113">SUM(G113:R113*(MOD(COLUMN(G113:R113),3)=1))</f>
        <v>433274.02913346863</v>
      </c>
      <c r="E113" s="384">
        <f t="array" ref="E113">SUM(G113:R113*(MOD(COLUMN(G113:R113),3)=2))</f>
        <v>363681.56913346867</v>
      </c>
      <c r="F113" s="385">
        <f t="array" ref="F113">SUM(G113:R113*(MOD(COLUMN(G113:R113),3)=0))</f>
        <v>-69592.459999999992</v>
      </c>
      <c r="G113" s="391">
        <f t="shared" si="79"/>
        <v>69592.459999999992</v>
      </c>
      <c r="H113" s="392">
        <f t="shared" si="79"/>
        <v>0</v>
      </c>
      <c r="I113" s="359">
        <f t="shared" si="85"/>
        <v>-69592.459999999992</v>
      </c>
      <c r="J113" s="391">
        <f t="shared" ref="J113:K113" si="93">J12*J22</f>
        <v>363681.56913346867</v>
      </c>
      <c r="K113" s="392">
        <f t="shared" si="93"/>
        <v>363681.56913346867</v>
      </c>
      <c r="L113" s="359">
        <f t="shared" si="87"/>
        <v>0</v>
      </c>
      <c r="M113" s="392">
        <f t="shared" si="81"/>
        <v>0</v>
      </c>
      <c r="N113" s="392">
        <f t="shared" si="81"/>
        <v>0</v>
      </c>
      <c r="O113" s="359">
        <f t="shared" si="82"/>
        <v>0</v>
      </c>
      <c r="P113" s="392">
        <f t="shared" si="83"/>
        <v>0</v>
      </c>
      <c r="Q113" s="404">
        <f t="shared" si="83"/>
        <v>0</v>
      </c>
      <c r="R113" s="370">
        <f t="shared" si="84"/>
        <v>0</v>
      </c>
    </row>
    <row r="114" spans="1:19" x14ac:dyDescent="0.25">
      <c r="A114" s="653"/>
      <c r="B114" s="655"/>
      <c r="C114" s="381" t="s">
        <v>34</v>
      </c>
      <c r="D114" s="383">
        <f t="array" ref="D114">SUM(G114:R114*(MOD(COLUMN(G114:R114),3)=1))</f>
        <v>433274.02913346863</v>
      </c>
      <c r="E114" s="384">
        <f t="array" ref="E114">SUM(G114:R114*(MOD(COLUMN(G114:R114),3)=2))</f>
        <v>363681.56913346867</v>
      </c>
      <c r="F114" s="385">
        <f t="array" ref="F114">SUM(G114:R114*(MOD(COLUMN(G114:R114),3)=0))</f>
        <v>-69592.459999999992</v>
      </c>
      <c r="G114" s="391">
        <f t="shared" si="79"/>
        <v>69592.459999999992</v>
      </c>
      <c r="H114" s="392">
        <f t="shared" si="79"/>
        <v>0</v>
      </c>
      <c r="I114" s="359">
        <f t="shared" si="85"/>
        <v>-69592.459999999992</v>
      </c>
      <c r="J114" s="391">
        <f t="shared" ref="J114:K114" si="94">J13*J23</f>
        <v>363681.56913346867</v>
      </c>
      <c r="K114" s="392">
        <f t="shared" si="94"/>
        <v>363681.56913346867</v>
      </c>
      <c r="L114" s="359">
        <f t="shared" si="87"/>
        <v>0</v>
      </c>
      <c r="M114" s="392">
        <f t="shared" si="81"/>
        <v>0</v>
      </c>
      <c r="N114" s="392">
        <f t="shared" si="81"/>
        <v>0</v>
      </c>
      <c r="O114" s="359">
        <f t="shared" si="82"/>
        <v>0</v>
      </c>
      <c r="P114" s="392">
        <f t="shared" si="83"/>
        <v>0</v>
      </c>
      <c r="Q114" s="404">
        <f t="shared" si="83"/>
        <v>0</v>
      </c>
      <c r="R114" s="370">
        <f t="shared" si="84"/>
        <v>0</v>
      </c>
    </row>
    <row r="115" spans="1:19" ht="15.75" thickBot="1" x14ac:dyDescent="0.3">
      <c r="A115" s="654"/>
      <c r="B115" s="656"/>
      <c r="C115" s="382" t="s">
        <v>35</v>
      </c>
      <c r="D115" s="386">
        <f t="array" ref="D115">SUM(G115:R115*(MOD(COLUMN(G115:R115),3)=1))</f>
        <v>433274.02913346863</v>
      </c>
      <c r="E115" s="387">
        <f t="array" ref="E115">SUM(G115:R115*(MOD(COLUMN(G115:R115),3)=2))</f>
        <v>363681.56913346867</v>
      </c>
      <c r="F115" s="388">
        <f t="array" ref="F115">SUM(G115:R115*(MOD(COLUMN(G115:R115),3)=0))</f>
        <v>-69592.459999999992</v>
      </c>
      <c r="G115" s="393">
        <f t="shared" si="79"/>
        <v>69592.459999999992</v>
      </c>
      <c r="H115" s="394">
        <f t="shared" si="79"/>
        <v>0</v>
      </c>
      <c r="I115" s="360">
        <f t="shared" si="85"/>
        <v>-69592.459999999992</v>
      </c>
      <c r="J115" s="393">
        <f t="shared" ref="J115:K115" si="95">J14*J24</f>
        <v>363681.56913346867</v>
      </c>
      <c r="K115" s="394">
        <f t="shared" si="95"/>
        <v>363681.56913346867</v>
      </c>
      <c r="L115" s="360">
        <f t="shared" si="87"/>
        <v>0</v>
      </c>
      <c r="M115" s="394">
        <f t="shared" si="81"/>
        <v>0</v>
      </c>
      <c r="N115" s="394">
        <f t="shared" si="81"/>
        <v>0</v>
      </c>
      <c r="O115" s="360">
        <f t="shared" si="82"/>
        <v>0</v>
      </c>
      <c r="P115" s="394">
        <f t="shared" si="83"/>
        <v>0</v>
      </c>
      <c r="Q115" s="405">
        <f t="shared" si="83"/>
        <v>0</v>
      </c>
      <c r="R115" s="371">
        <f t="shared" si="84"/>
        <v>0</v>
      </c>
    </row>
    <row r="116" spans="1:19" x14ac:dyDescent="0.25">
      <c r="A116" s="653" t="s">
        <v>382</v>
      </c>
      <c r="B116" s="655" t="s">
        <v>12</v>
      </c>
      <c r="C116" s="381" t="s">
        <v>26</v>
      </c>
      <c r="D116" s="457">
        <f t="array" ref="D116">SUM(G116:R116*(MOD(COLUMN(G116:R116),3)=1))</f>
        <v>0</v>
      </c>
      <c r="E116" s="458">
        <f t="array" ref="E116">SUM(G116:R116*(MOD(COLUMN(G116:R116),3)=2))</f>
        <v>0</v>
      </c>
      <c r="F116" s="459">
        <f t="array" ref="F116">SUM(G116:R116*(MOD(COLUMN(G116:R116),3)=0))</f>
        <v>0</v>
      </c>
      <c r="G116" s="395">
        <f t="shared" ref="G116:H125" si="96">G5*G25</f>
        <v>0</v>
      </c>
      <c r="H116" s="396">
        <f t="shared" si="96"/>
        <v>0</v>
      </c>
      <c r="I116" s="358">
        <f>H116-G116</f>
        <v>0</v>
      </c>
      <c r="J116" s="395">
        <f t="shared" ref="J116:K116" si="97">J5*J25</f>
        <v>0</v>
      </c>
      <c r="K116" s="396">
        <f t="shared" si="97"/>
        <v>0</v>
      </c>
      <c r="L116" s="358">
        <f>K116-J116</f>
        <v>0</v>
      </c>
      <c r="M116" s="396">
        <f t="shared" ref="M116:N125" si="98">M5*M25</f>
        <v>0</v>
      </c>
      <c r="N116" s="396">
        <f t="shared" si="98"/>
        <v>0</v>
      </c>
      <c r="O116" s="358">
        <f>N116-M116</f>
        <v>0</v>
      </c>
      <c r="P116" s="396">
        <f t="shared" ref="P116:Q125" si="99">P5*P25</f>
        <v>0</v>
      </c>
      <c r="Q116" s="406">
        <f t="shared" si="99"/>
        <v>0</v>
      </c>
      <c r="R116" s="377">
        <f>Q116-P116</f>
        <v>0</v>
      </c>
    </row>
    <row r="117" spans="1:19" x14ac:dyDescent="0.25">
      <c r="A117" s="653"/>
      <c r="B117" s="655"/>
      <c r="C117" s="381" t="s">
        <v>27</v>
      </c>
      <c r="D117" s="383">
        <f t="array" ref="D117">SUM(G117:R117*(MOD(COLUMN(G117:R117),3)=1))</f>
        <v>0</v>
      </c>
      <c r="E117" s="384">
        <f t="array" ref="E117">SUM(G117:R117*(MOD(COLUMN(G117:R117),3)=2))</f>
        <v>0</v>
      </c>
      <c r="F117" s="385">
        <f t="array" ref="F117">SUM(G117:R117*(MOD(COLUMN(G117:R117),3)=0))</f>
        <v>0</v>
      </c>
      <c r="G117" s="391">
        <f t="shared" si="96"/>
        <v>0</v>
      </c>
      <c r="H117" s="392">
        <f t="shared" si="96"/>
        <v>0</v>
      </c>
      <c r="I117" s="359">
        <f t="shared" ref="I117:I125" si="100">H117-G117</f>
        <v>0</v>
      </c>
      <c r="J117" s="391">
        <f t="shared" ref="J117:K117" si="101">J6*J26</f>
        <v>0</v>
      </c>
      <c r="K117" s="392">
        <f t="shared" si="101"/>
        <v>0</v>
      </c>
      <c r="L117" s="359">
        <f t="shared" ref="L117:L125" si="102">K117-J117</f>
        <v>0</v>
      </c>
      <c r="M117" s="392">
        <f t="shared" si="98"/>
        <v>0</v>
      </c>
      <c r="N117" s="392">
        <f t="shared" si="98"/>
        <v>0</v>
      </c>
      <c r="O117" s="359">
        <f t="shared" ref="O117:O125" si="103">N117-M117</f>
        <v>0</v>
      </c>
      <c r="P117" s="392">
        <f t="shared" si="99"/>
        <v>0</v>
      </c>
      <c r="Q117" s="404">
        <f t="shared" si="99"/>
        <v>0</v>
      </c>
      <c r="R117" s="370">
        <f t="shared" ref="R117:R125" si="104">Q117-P117</f>
        <v>0</v>
      </c>
    </row>
    <row r="118" spans="1:19" x14ac:dyDescent="0.25">
      <c r="A118" s="653"/>
      <c r="B118" s="655"/>
      <c r="C118" s="381" t="s">
        <v>28</v>
      </c>
      <c r="D118" s="383">
        <f t="array" ref="D118">SUM(G118:R118*(MOD(COLUMN(G118:R118),3)=1))</f>
        <v>0</v>
      </c>
      <c r="E118" s="384">
        <f t="array" ref="E118">SUM(G118:R118*(MOD(COLUMN(G118:R118),3)=2))</f>
        <v>0</v>
      </c>
      <c r="F118" s="385">
        <f t="array" ref="F118">SUM(G118:R118*(MOD(COLUMN(G118:R118),3)=0))</f>
        <v>0</v>
      </c>
      <c r="G118" s="391">
        <f t="shared" si="96"/>
        <v>0</v>
      </c>
      <c r="H118" s="392">
        <f t="shared" si="96"/>
        <v>0</v>
      </c>
      <c r="I118" s="359">
        <f t="shared" si="100"/>
        <v>0</v>
      </c>
      <c r="J118" s="391">
        <f t="shared" ref="J118:K118" si="105">J7*J27</f>
        <v>0</v>
      </c>
      <c r="K118" s="392">
        <f t="shared" si="105"/>
        <v>0</v>
      </c>
      <c r="L118" s="359">
        <f t="shared" si="102"/>
        <v>0</v>
      </c>
      <c r="M118" s="392">
        <f t="shared" si="98"/>
        <v>0</v>
      </c>
      <c r="N118" s="392">
        <f t="shared" si="98"/>
        <v>0</v>
      </c>
      <c r="O118" s="359">
        <f t="shared" si="103"/>
        <v>0</v>
      </c>
      <c r="P118" s="392">
        <f t="shared" si="99"/>
        <v>0</v>
      </c>
      <c r="Q118" s="404">
        <f t="shared" si="99"/>
        <v>0</v>
      </c>
      <c r="R118" s="370">
        <f t="shared" si="104"/>
        <v>0</v>
      </c>
    </row>
    <row r="119" spans="1:19" x14ac:dyDescent="0.25">
      <c r="A119" s="653"/>
      <c r="B119" s="655"/>
      <c r="C119" s="381" t="s">
        <v>29</v>
      </c>
      <c r="D119" s="383">
        <f t="array" ref="D119">SUM(G119:R119*(MOD(COLUMN(G119:R119),3)=1))</f>
        <v>0</v>
      </c>
      <c r="E119" s="384">
        <f t="array" ref="E119">SUM(G119:R119*(MOD(COLUMN(G119:R119),3)=2))</f>
        <v>0</v>
      </c>
      <c r="F119" s="385">
        <f t="array" ref="F119">SUM(G119:R119*(MOD(COLUMN(G119:R119),3)=0))</f>
        <v>0</v>
      </c>
      <c r="G119" s="391">
        <f t="shared" si="96"/>
        <v>0</v>
      </c>
      <c r="H119" s="392">
        <f t="shared" si="96"/>
        <v>0</v>
      </c>
      <c r="I119" s="359">
        <f t="shared" si="100"/>
        <v>0</v>
      </c>
      <c r="J119" s="391">
        <f t="shared" ref="J119:K119" si="106">J8*J28</f>
        <v>0</v>
      </c>
      <c r="K119" s="392">
        <f t="shared" si="106"/>
        <v>0</v>
      </c>
      <c r="L119" s="359">
        <f t="shared" si="102"/>
        <v>0</v>
      </c>
      <c r="M119" s="392">
        <f t="shared" si="98"/>
        <v>0</v>
      </c>
      <c r="N119" s="392">
        <f t="shared" si="98"/>
        <v>0</v>
      </c>
      <c r="O119" s="359">
        <f t="shared" si="103"/>
        <v>0</v>
      </c>
      <c r="P119" s="392">
        <f t="shared" si="99"/>
        <v>0</v>
      </c>
      <c r="Q119" s="404">
        <f t="shared" si="99"/>
        <v>0</v>
      </c>
      <c r="R119" s="370">
        <f t="shared" si="104"/>
        <v>0</v>
      </c>
    </row>
    <row r="120" spans="1:19" x14ac:dyDescent="0.25">
      <c r="A120" s="653"/>
      <c r="B120" s="655"/>
      <c r="C120" s="381" t="s">
        <v>30</v>
      </c>
      <c r="D120" s="383">
        <f t="array" ref="D120">SUM(G120:R120*(MOD(COLUMN(G120:R120),3)=1))</f>
        <v>0</v>
      </c>
      <c r="E120" s="384">
        <f t="array" ref="E120">SUM(G120:R120*(MOD(COLUMN(G120:R120),3)=2))</f>
        <v>0</v>
      </c>
      <c r="F120" s="385">
        <f t="array" ref="F120">SUM(G120:R120*(MOD(COLUMN(G120:R120),3)=0))</f>
        <v>0</v>
      </c>
      <c r="G120" s="391">
        <f t="shared" si="96"/>
        <v>0</v>
      </c>
      <c r="H120" s="392">
        <f t="shared" si="96"/>
        <v>0</v>
      </c>
      <c r="I120" s="359">
        <f t="shared" si="100"/>
        <v>0</v>
      </c>
      <c r="J120" s="391">
        <f t="shared" ref="J120:K120" si="107">J9*J29</f>
        <v>0</v>
      </c>
      <c r="K120" s="392">
        <f t="shared" si="107"/>
        <v>0</v>
      </c>
      <c r="L120" s="359">
        <f t="shared" si="102"/>
        <v>0</v>
      </c>
      <c r="M120" s="392">
        <f t="shared" si="98"/>
        <v>0</v>
      </c>
      <c r="N120" s="392">
        <f t="shared" si="98"/>
        <v>0</v>
      </c>
      <c r="O120" s="359">
        <f t="shared" si="103"/>
        <v>0</v>
      </c>
      <c r="P120" s="392">
        <f t="shared" si="99"/>
        <v>0</v>
      </c>
      <c r="Q120" s="404">
        <f t="shared" si="99"/>
        <v>0</v>
      </c>
      <c r="R120" s="370">
        <f t="shared" si="104"/>
        <v>0</v>
      </c>
    </row>
    <row r="121" spans="1:19" x14ac:dyDescent="0.25">
      <c r="A121" s="653"/>
      <c r="B121" s="655"/>
      <c r="C121" s="381" t="s">
        <v>31</v>
      </c>
      <c r="D121" s="383">
        <f t="array" ref="D121">SUM(G121:R121*(MOD(COLUMN(G121:R121),3)=1))</f>
        <v>0</v>
      </c>
      <c r="E121" s="384">
        <f t="array" ref="E121">SUM(G121:R121*(MOD(COLUMN(G121:R121),3)=2))</f>
        <v>0</v>
      </c>
      <c r="F121" s="385">
        <f t="array" ref="F121">SUM(G121:R121*(MOD(COLUMN(G121:R121),3)=0))</f>
        <v>0</v>
      </c>
      <c r="G121" s="391">
        <f t="shared" si="96"/>
        <v>0</v>
      </c>
      <c r="H121" s="392">
        <f t="shared" si="96"/>
        <v>0</v>
      </c>
      <c r="I121" s="359">
        <f t="shared" si="100"/>
        <v>0</v>
      </c>
      <c r="J121" s="391">
        <f t="shared" ref="J121:K121" si="108">J10*J30</f>
        <v>0</v>
      </c>
      <c r="K121" s="392">
        <f t="shared" si="108"/>
        <v>0</v>
      </c>
      <c r="L121" s="359">
        <f t="shared" si="102"/>
        <v>0</v>
      </c>
      <c r="M121" s="392">
        <f t="shared" si="98"/>
        <v>0</v>
      </c>
      <c r="N121" s="392">
        <f t="shared" si="98"/>
        <v>0</v>
      </c>
      <c r="O121" s="359">
        <f t="shared" si="103"/>
        <v>0</v>
      </c>
      <c r="P121" s="392">
        <f t="shared" si="99"/>
        <v>0</v>
      </c>
      <c r="Q121" s="404">
        <f t="shared" si="99"/>
        <v>0</v>
      </c>
      <c r="R121" s="370">
        <f t="shared" si="104"/>
        <v>0</v>
      </c>
    </row>
    <row r="122" spans="1:19" x14ac:dyDescent="0.25">
      <c r="A122" s="653"/>
      <c r="B122" s="655"/>
      <c r="C122" s="381" t="s">
        <v>32</v>
      </c>
      <c r="D122" s="383">
        <f t="array" ref="D122">SUM(G122:R122*(MOD(COLUMN(G122:R122),3)=1))</f>
        <v>0</v>
      </c>
      <c r="E122" s="384">
        <f t="array" ref="E122">SUM(G122:R122*(MOD(COLUMN(G122:R122),3)=2))</f>
        <v>0</v>
      </c>
      <c r="F122" s="385">
        <f t="array" ref="F122">SUM(G122:R122*(MOD(COLUMN(G122:R122),3)=0))</f>
        <v>0</v>
      </c>
      <c r="G122" s="391">
        <f t="shared" si="96"/>
        <v>0</v>
      </c>
      <c r="H122" s="392">
        <f t="shared" si="96"/>
        <v>0</v>
      </c>
      <c r="I122" s="359">
        <f t="shared" si="100"/>
        <v>0</v>
      </c>
      <c r="J122" s="391">
        <f t="shared" ref="J122:K122" si="109">J11*J31</f>
        <v>0</v>
      </c>
      <c r="K122" s="392">
        <f t="shared" si="109"/>
        <v>0</v>
      </c>
      <c r="L122" s="359">
        <f t="shared" si="102"/>
        <v>0</v>
      </c>
      <c r="M122" s="392">
        <f t="shared" si="98"/>
        <v>0</v>
      </c>
      <c r="N122" s="392">
        <f t="shared" si="98"/>
        <v>0</v>
      </c>
      <c r="O122" s="359">
        <f t="shared" si="103"/>
        <v>0</v>
      </c>
      <c r="P122" s="392">
        <f t="shared" si="99"/>
        <v>0</v>
      </c>
      <c r="Q122" s="404">
        <f t="shared" si="99"/>
        <v>0</v>
      </c>
      <c r="R122" s="370">
        <f t="shared" si="104"/>
        <v>0</v>
      </c>
    </row>
    <row r="123" spans="1:19" x14ac:dyDescent="0.25">
      <c r="A123" s="653"/>
      <c r="B123" s="655"/>
      <c r="C123" s="381" t="s">
        <v>33</v>
      </c>
      <c r="D123" s="383">
        <f t="array" ref="D123">SUM(G123:R123*(MOD(COLUMN(G123:R123),3)=1))</f>
        <v>0</v>
      </c>
      <c r="E123" s="384">
        <f t="array" ref="E123">SUM(G123:R123*(MOD(COLUMN(G123:R123),3)=2))</f>
        <v>0</v>
      </c>
      <c r="F123" s="385">
        <f t="array" ref="F123">SUM(G123:R123*(MOD(COLUMN(G123:R123),3)=0))</f>
        <v>0</v>
      </c>
      <c r="G123" s="391">
        <f t="shared" si="96"/>
        <v>0</v>
      </c>
      <c r="H123" s="392">
        <f t="shared" si="96"/>
        <v>0</v>
      </c>
      <c r="I123" s="359">
        <f t="shared" si="100"/>
        <v>0</v>
      </c>
      <c r="J123" s="391">
        <f t="shared" ref="J123:K123" si="110">J12*J32</f>
        <v>0</v>
      </c>
      <c r="K123" s="392">
        <f t="shared" si="110"/>
        <v>0</v>
      </c>
      <c r="L123" s="359">
        <f t="shared" si="102"/>
        <v>0</v>
      </c>
      <c r="M123" s="392">
        <f t="shared" si="98"/>
        <v>0</v>
      </c>
      <c r="N123" s="392">
        <f t="shared" si="98"/>
        <v>0</v>
      </c>
      <c r="O123" s="359">
        <f t="shared" si="103"/>
        <v>0</v>
      </c>
      <c r="P123" s="392">
        <f t="shared" si="99"/>
        <v>0</v>
      </c>
      <c r="Q123" s="404">
        <f t="shared" si="99"/>
        <v>0</v>
      </c>
      <c r="R123" s="370">
        <f t="shared" si="104"/>
        <v>0</v>
      </c>
    </row>
    <row r="124" spans="1:19" x14ac:dyDescent="0.25">
      <c r="A124" s="653"/>
      <c r="B124" s="655"/>
      <c r="C124" s="381" t="s">
        <v>34</v>
      </c>
      <c r="D124" s="383">
        <f t="array" ref="D124">SUM(G124:R124*(MOD(COLUMN(G124:R124),3)=1))</f>
        <v>0</v>
      </c>
      <c r="E124" s="384">
        <f t="array" ref="E124">SUM(G124:R124*(MOD(COLUMN(G124:R124),3)=2))</f>
        <v>0</v>
      </c>
      <c r="F124" s="385">
        <f t="array" ref="F124">SUM(G124:R124*(MOD(COLUMN(G124:R124),3)=0))</f>
        <v>0</v>
      </c>
      <c r="G124" s="391">
        <f t="shared" si="96"/>
        <v>0</v>
      </c>
      <c r="H124" s="392">
        <f t="shared" si="96"/>
        <v>0</v>
      </c>
      <c r="I124" s="359">
        <f t="shared" si="100"/>
        <v>0</v>
      </c>
      <c r="J124" s="391">
        <f t="shared" ref="J124:K124" si="111">J13*J33</f>
        <v>0</v>
      </c>
      <c r="K124" s="392">
        <f t="shared" si="111"/>
        <v>0</v>
      </c>
      <c r="L124" s="359">
        <f t="shared" si="102"/>
        <v>0</v>
      </c>
      <c r="M124" s="392">
        <f t="shared" si="98"/>
        <v>0</v>
      </c>
      <c r="N124" s="392">
        <f t="shared" si="98"/>
        <v>0</v>
      </c>
      <c r="O124" s="359">
        <f t="shared" si="103"/>
        <v>0</v>
      </c>
      <c r="P124" s="392">
        <f t="shared" si="99"/>
        <v>0</v>
      </c>
      <c r="Q124" s="404">
        <f t="shared" si="99"/>
        <v>0</v>
      </c>
      <c r="R124" s="370">
        <f t="shared" si="104"/>
        <v>0</v>
      </c>
    </row>
    <row r="125" spans="1:19" ht="15.75" thickBot="1" x14ac:dyDescent="0.3">
      <c r="A125" s="654"/>
      <c r="B125" s="656"/>
      <c r="C125" s="382" t="s">
        <v>35</v>
      </c>
      <c r="D125" s="386">
        <f t="array" ref="D125">SUM(G125:R125*(MOD(COLUMN(G125:R125),3)=1))</f>
        <v>0</v>
      </c>
      <c r="E125" s="387">
        <f t="array" ref="E125">SUM(G125:R125*(MOD(COLUMN(G125:R125),3)=2))</f>
        <v>0</v>
      </c>
      <c r="F125" s="388">
        <f t="array" ref="F125">SUM(G125:R125*(MOD(COLUMN(G125:R125),3)=0))</f>
        <v>0</v>
      </c>
      <c r="G125" s="393">
        <f t="shared" si="96"/>
        <v>0</v>
      </c>
      <c r="H125" s="394">
        <f t="shared" si="96"/>
        <v>0</v>
      </c>
      <c r="I125" s="360">
        <f t="shared" si="100"/>
        <v>0</v>
      </c>
      <c r="J125" s="393">
        <f t="shared" ref="J125:K125" si="112">J14*J34</f>
        <v>0</v>
      </c>
      <c r="K125" s="394">
        <f t="shared" si="112"/>
        <v>0</v>
      </c>
      <c r="L125" s="360">
        <f t="shared" si="102"/>
        <v>0</v>
      </c>
      <c r="M125" s="394">
        <f t="shared" si="98"/>
        <v>0</v>
      </c>
      <c r="N125" s="394">
        <f t="shared" si="98"/>
        <v>0</v>
      </c>
      <c r="O125" s="360">
        <f t="shared" si="103"/>
        <v>0</v>
      </c>
      <c r="P125" s="394">
        <f t="shared" si="99"/>
        <v>0</v>
      </c>
      <c r="Q125" s="405">
        <f t="shared" si="99"/>
        <v>0</v>
      </c>
      <c r="R125" s="371">
        <f t="shared" si="104"/>
        <v>0</v>
      </c>
    </row>
    <row r="126" spans="1:19" x14ac:dyDescent="0.25">
      <c r="A126" s="653" t="s">
        <v>41</v>
      </c>
      <c r="B126" s="655" t="s">
        <v>12</v>
      </c>
      <c r="C126" s="381" t="s">
        <v>26</v>
      </c>
      <c r="D126" s="457">
        <f t="array" ref="D126">SUM(G126:R126*(MOD(COLUMN(G126:R126),3)=1))</f>
        <v>0</v>
      </c>
      <c r="E126" s="458">
        <f t="array" ref="E126">SUM(G126:R126*(MOD(COLUMN(G126:R126),3)=2))</f>
        <v>0</v>
      </c>
      <c r="F126" s="459">
        <f t="array" ref="F126">SUM(G126:R126*(MOD(COLUMN(G126:R126),3)=0))</f>
        <v>0</v>
      </c>
      <c r="G126" s="395">
        <f>G55</f>
        <v>0</v>
      </c>
      <c r="H126" s="396">
        <f t="shared" ref="H126:H135" si="113">H55*(1+$S$126)</f>
        <v>0</v>
      </c>
      <c r="I126" s="358">
        <f>H126-G126</f>
        <v>0</v>
      </c>
      <c r="J126" s="395">
        <f>J55</f>
        <v>0</v>
      </c>
      <c r="K126" s="396">
        <f t="shared" ref="K126:K135" si="114">K55*(1+$S$126)</f>
        <v>0</v>
      </c>
      <c r="L126" s="358">
        <f>K126-J126</f>
        <v>0</v>
      </c>
      <c r="M126" s="396">
        <f t="shared" ref="M126:M135" si="115">M55</f>
        <v>0</v>
      </c>
      <c r="N126" s="396">
        <f t="shared" ref="N126:N135" si="116">N55*(1+$S$126)</f>
        <v>0</v>
      </c>
      <c r="O126" s="358">
        <f>N126-M126</f>
        <v>0</v>
      </c>
      <c r="P126" s="396">
        <f t="shared" ref="P126:P135" si="117">P55</f>
        <v>0</v>
      </c>
      <c r="Q126" s="396">
        <f>Q55*(1+$S$126)</f>
        <v>0</v>
      </c>
      <c r="R126" s="377">
        <f>Q126-P126</f>
        <v>0</v>
      </c>
      <c r="S126" s="464">
        <f>'Analyza citlivosti - AgendovéIS'!H7</f>
        <v>0</v>
      </c>
    </row>
    <row r="127" spans="1:19" x14ac:dyDescent="0.25">
      <c r="A127" s="653"/>
      <c r="B127" s="655"/>
      <c r="C127" s="381" t="s">
        <v>27</v>
      </c>
      <c r="D127" s="383">
        <f t="array" ref="D127">SUM(G127:R127*(MOD(COLUMN(G127:R127),3)=1))</f>
        <v>0</v>
      </c>
      <c r="E127" s="384">
        <f t="array" ref="E127">SUM(G127:R127*(MOD(COLUMN(G127:R127),3)=2))</f>
        <v>0</v>
      </c>
      <c r="F127" s="385">
        <f t="array" ref="F127">SUM(G127:R127*(MOD(COLUMN(G127:R127),3)=0))</f>
        <v>0</v>
      </c>
      <c r="G127" s="391">
        <f t="shared" ref="G127:G135" si="118">G56</f>
        <v>0</v>
      </c>
      <c r="H127" s="392">
        <f t="shared" si="113"/>
        <v>0</v>
      </c>
      <c r="I127" s="359">
        <f t="shared" ref="I127:I135" si="119">H127-G127</f>
        <v>0</v>
      </c>
      <c r="J127" s="391">
        <f t="shared" ref="J127:J135" si="120">J56</f>
        <v>0</v>
      </c>
      <c r="K127" s="392">
        <f t="shared" si="114"/>
        <v>0</v>
      </c>
      <c r="L127" s="359">
        <f t="shared" ref="L127:L135" si="121">K127-J127</f>
        <v>0</v>
      </c>
      <c r="M127" s="392">
        <f t="shared" si="115"/>
        <v>0</v>
      </c>
      <c r="N127" s="392">
        <f t="shared" si="116"/>
        <v>0</v>
      </c>
      <c r="O127" s="359">
        <f t="shared" ref="O127:O135" si="122">N127-M127</f>
        <v>0</v>
      </c>
      <c r="P127" s="392">
        <f t="shared" si="117"/>
        <v>0</v>
      </c>
      <c r="Q127" s="392">
        <f t="shared" ref="Q127:Q135" si="123">Q56*(1+$S$126)</f>
        <v>0</v>
      </c>
      <c r="R127" s="370">
        <f t="shared" ref="R127:R135" si="124">Q127-P127</f>
        <v>0</v>
      </c>
    </row>
    <row r="128" spans="1:19" x14ac:dyDescent="0.25">
      <c r="A128" s="653"/>
      <c r="B128" s="655"/>
      <c r="C128" s="381" t="s">
        <v>28</v>
      </c>
      <c r="D128" s="383">
        <f t="array" ref="D128">SUM(G128:R128*(MOD(COLUMN(G128:R128),3)=1))</f>
        <v>0</v>
      </c>
      <c r="E128" s="384">
        <f t="array" ref="E128">SUM(G128:R128*(MOD(COLUMN(G128:R128),3)=2))</f>
        <v>0</v>
      </c>
      <c r="F128" s="385">
        <f t="array" ref="F128">SUM(G128:R128*(MOD(COLUMN(G128:R128),3)=0))</f>
        <v>0</v>
      </c>
      <c r="G128" s="391">
        <f t="shared" si="118"/>
        <v>0</v>
      </c>
      <c r="H128" s="392">
        <f t="shared" si="113"/>
        <v>0</v>
      </c>
      <c r="I128" s="359">
        <f t="shared" si="119"/>
        <v>0</v>
      </c>
      <c r="J128" s="391">
        <f t="shared" si="120"/>
        <v>0</v>
      </c>
      <c r="K128" s="392">
        <f t="shared" si="114"/>
        <v>0</v>
      </c>
      <c r="L128" s="359">
        <f t="shared" si="121"/>
        <v>0</v>
      </c>
      <c r="M128" s="392">
        <f t="shared" si="115"/>
        <v>0</v>
      </c>
      <c r="N128" s="392">
        <f t="shared" si="116"/>
        <v>0</v>
      </c>
      <c r="O128" s="359">
        <f t="shared" si="122"/>
        <v>0</v>
      </c>
      <c r="P128" s="392">
        <f t="shared" si="117"/>
        <v>0</v>
      </c>
      <c r="Q128" s="392">
        <f t="shared" si="123"/>
        <v>0</v>
      </c>
      <c r="R128" s="370">
        <f t="shared" si="124"/>
        <v>0</v>
      </c>
    </row>
    <row r="129" spans="1:18" x14ac:dyDescent="0.25">
      <c r="A129" s="653"/>
      <c r="B129" s="655"/>
      <c r="C129" s="381" t="s">
        <v>29</v>
      </c>
      <c r="D129" s="383">
        <f t="array" ref="D129">SUM(G129:R129*(MOD(COLUMN(G129:R129),3)=1))</f>
        <v>0</v>
      </c>
      <c r="E129" s="384">
        <f t="array" ref="E129">SUM(G129:R129*(MOD(COLUMN(G129:R129),3)=2))</f>
        <v>0</v>
      </c>
      <c r="F129" s="385">
        <f t="array" ref="F129">SUM(G129:R129*(MOD(COLUMN(G129:R129),3)=0))</f>
        <v>0</v>
      </c>
      <c r="G129" s="391">
        <f t="shared" si="118"/>
        <v>0</v>
      </c>
      <c r="H129" s="392">
        <f t="shared" si="113"/>
        <v>0</v>
      </c>
      <c r="I129" s="359">
        <f t="shared" si="119"/>
        <v>0</v>
      </c>
      <c r="J129" s="391">
        <f t="shared" si="120"/>
        <v>0</v>
      </c>
      <c r="K129" s="392">
        <f t="shared" si="114"/>
        <v>0</v>
      </c>
      <c r="L129" s="359">
        <f t="shared" si="121"/>
        <v>0</v>
      </c>
      <c r="M129" s="392">
        <f t="shared" si="115"/>
        <v>0</v>
      </c>
      <c r="N129" s="392">
        <f t="shared" si="116"/>
        <v>0</v>
      </c>
      <c r="O129" s="359">
        <f t="shared" si="122"/>
        <v>0</v>
      </c>
      <c r="P129" s="392">
        <f t="shared" si="117"/>
        <v>0</v>
      </c>
      <c r="Q129" s="392">
        <f t="shared" si="123"/>
        <v>0</v>
      </c>
      <c r="R129" s="370">
        <f t="shared" si="124"/>
        <v>0</v>
      </c>
    </row>
    <row r="130" spans="1:18" x14ac:dyDescent="0.25">
      <c r="A130" s="653"/>
      <c r="B130" s="655"/>
      <c r="C130" s="381" t="s">
        <v>30</v>
      </c>
      <c r="D130" s="383">
        <f t="array" ref="D130">SUM(G130:R130*(MOD(COLUMN(G130:R130),3)=1))</f>
        <v>0</v>
      </c>
      <c r="E130" s="384">
        <f t="array" ref="E130">SUM(G130:R130*(MOD(COLUMN(G130:R130),3)=2))</f>
        <v>0</v>
      </c>
      <c r="F130" s="385">
        <f t="array" ref="F130">SUM(G130:R130*(MOD(COLUMN(G130:R130),3)=0))</f>
        <v>0</v>
      </c>
      <c r="G130" s="391">
        <f t="shared" si="118"/>
        <v>0</v>
      </c>
      <c r="H130" s="392">
        <f t="shared" si="113"/>
        <v>0</v>
      </c>
      <c r="I130" s="359">
        <f t="shared" si="119"/>
        <v>0</v>
      </c>
      <c r="J130" s="391">
        <f t="shared" si="120"/>
        <v>0</v>
      </c>
      <c r="K130" s="392">
        <f t="shared" si="114"/>
        <v>0</v>
      </c>
      <c r="L130" s="359">
        <f t="shared" si="121"/>
        <v>0</v>
      </c>
      <c r="M130" s="392">
        <f t="shared" si="115"/>
        <v>0</v>
      </c>
      <c r="N130" s="392">
        <f t="shared" si="116"/>
        <v>0</v>
      </c>
      <c r="O130" s="359">
        <f t="shared" si="122"/>
        <v>0</v>
      </c>
      <c r="P130" s="392">
        <f t="shared" si="117"/>
        <v>0</v>
      </c>
      <c r="Q130" s="392">
        <f t="shared" si="123"/>
        <v>0</v>
      </c>
      <c r="R130" s="370">
        <f t="shared" si="124"/>
        <v>0</v>
      </c>
    </row>
    <row r="131" spans="1:18" x14ac:dyDescent="0.25">
      <c r="A131" s="653"/>
      <c r="B131" s="655"/>
      <c r="C131" s="381" t="s">
        <v>31</v>
      </c>
      <c r="D131" s="383">
        <f t="array" ref="D131">SUM(G131:R131*(MOD(COLUMN(G131:R131),3)=1))</f>
        <v>0</v>
      </c>
      <c r="E131" s="384">
        <f t="array" ref="E131">SUM(G131:R131*(MOD(COLUMN(G131:R131),3)=2))</f>
        <v>0</v>
      </c>
      <c r="F131" s="385">
        <f t="array" ref="F131">SUM(G131:R131*(MOD(COLUMN(G131:R131),3)=0))</f>
        <v>0</v>
      </c>
      <c r="G131" s="391">
        <f t="shared" si="118"/>
        <v>0</v>
      </c>
      <c r="H131" s="392">
        <f t="shared" si="113"/>
        <v>0</v>
      </c>
      <c r="I131" s="359">
        <f t="shared" si="119"/>
        <v>0</v>
      </c>
      <c r="J131" s="391">
        <f t="shared" si="120"/>
        <v>0</v>
      </c>
      <c r="K131" s="392">
        <f t="shared" si="114"/>
        <v>0</v>
      </c>
      <c r="L131" s="359">
        <f t="shared" si="121"/>
        <v>0</v>
      </c>
      <c r="M131" s="392">
        <f t="shared" si="115"/>
        <v>0</v>
      </c>
      <c r="N131" s="392">
        <f t="shared" si="116"/>
        <v>0</v>
      </c>
      <c r="O131" s="359">
        <f t="shared" si="122"/>
        <v>0</v>
      </c>
      <c r="P131" s="392">
        <f t="shared" si="117"/>
        <v>0</v>
      </c>
      <c r="Q131" s="392">
        <f t="shared" si="123"/>
        <v>0</v>
      </c>
      <c r="R131" s="370">
        <f t="shared" si="124"/>
        <v>0</v>
      </c>
    </row>
    <row r="132" spans="1:18" x14ac:dyDescent="0.25">
      <c r="A132" s="653"/>
      <c r="B132" s="655"/>
      <c r="C132" s="381" t="s">
        <v>32</v>
      </c>
      <c r="D132" s="383">
        <f t="array" ref="D132">SUM(G132:R132*(MOD(COLUMN(G132:R132),3)=1))</f>
        <v>0</v>
      </c>
      <c r="E132" s="384">
        <f t="array" ref="E132">SUM(G132:R132*(MOD(COLUMN(G132:R132),3)=2))</f>
        <v>0</v>
      </c>
      <c r="F132" s="385">
        <f t="array" ref="F132">SUM(G132:R132*(MOD(COLUMN(G132:R132),3)=0))</f>
        <v>0</v>
      </c>
      <c r="G132" s="391">
        <f t="shared" si="118"/>
        <v>0</v>
      </c>
      <c r="H132" s="392">
        <f t="shared" si="113"/>
        <v>0</v>
      </c>
      <c r="I132" s="359">
        <f t="shared" si="119"/>
        <v>0</v>
      </c>
      <c r="J132" s="391">
        <f t="shared" si="120"/>
        <v>0</v>
      </c>
      <c r="K132" s="392">
        <f t="shared" si="114"/>
        <v>0</v>
      </c>
      <c r="L132" s="359">
        <f t="shared" si="121"/>
        <v>0</v>
      </c>
      <c r="M132" s="392">
        <f t="shared" si="115"/>
        <v>0</v>
      </c>
      <c r="N132" s="392">
        <f t="shared" si="116"/>
        <v>0</v>
      </c>
      <c r="O132" s="359">
        <f t="shared" si="122"/>
        <v>0</v>
      </c>
      <c r="P132" s="392">
        <f t="shared" si="117"/>
        <v>0</v>
      </c>
      <c r="Q132" s="392">
        <f t="shared" si="123"/>
        <v>0</v>
      </c>
      <c r="R132" s="370">
        <f t="shared" si="124"/>
        <v>0</v>
      </c>
    </row>
    <row r="133" spans="1:18" x14ac:dyDescent="0.25">
      <c r="A133" s="653"/>
      <c r="B133" s="655"/>
      <c r="C133" s="381" t="s">
        <v>33</v>
      </c>
      <c r="D133" s="383">
        <f t="array" ref="D133">SUM(G133:R133*(MOD(COLUMN(G133:R133),3)=1))</f>
        <v>0</v>
      </c>
      <c r="E133" s="384">
        <f t="array" ref="E133">SUM(G133:R133*(MOD(COLUMN(G133:R133),3)=2))</f>
        <v>0</v>
      </c>
      <c r="F133" s="385">
        <f t="array" ref="F133">SUM(G133:R133*(MOD(COLUMN(G133:R133),3)=0))</f>
        <v>0</v>
      </c>
      <c r="G133" s="391">
        <f t="shared" si="118"/>
        <v>0</v>
      </c>
      <c r="H133" s="392">
        <f t="shared" si="113"/>
        <v>0</v>
      </c>
      <c r="I133" s="359">
        <f t="shared" si="119"/>
        <v>0</v>
      </c>
      <c r="J133" s="391">
        <f t="shared" si="120"/>
        <v>0</v>
      </c>
      <c r="K133" s="392">
        <f t="shared" si="114"/>
        <v>0</v>
      </c>
      <c r="L133" s="359">
        <f t="shared" si="121"/>
        <v>0</v>
      </c>
      <c r="M133" s="392">
        <f t="shared" si="115"/>
        <v>0</v>
      </c>
      <c r="N133" s="392">
        <f t="shared" si="116"/>
        <v>0</v>
      </c>
      <c r="O133" s="359">
        <f t="shared" si="122"/>
        <v>0</v>
      </c>
      <c r="P133" s="392">
        <f t="shared" si="117"/>
        <v>0</v>
      </c>
      <c r="Q133" s="392">
        <f t="shared" si="123"/>
        <v>0</v>
      </c>
      <c r="R133" s="370">
        <f t="shared" si="124"/>
        <v>0</v>
      </c>
    </row>
    <row r="134" spans="1:18" x14ac:dyDescent="0.25">
      <c r="A134" s="653"/>
      <c r="B134" s="655"/>
      <c r="C134" s="381" t="s">
        <v>34</v>
      </c>
      <c r="D134" s="383">
        <f t="array" ref="D134">SUM(G134:R134*(MOD(COLUMN(G134:R134),3)=1))</f>
        <v>0</v>
      </c>
      <c r="E134" s="384">
        <f t="array" ref="E134">SUM(G134:R134*(MOD(COLUMN(G134:R134),3)=2))</f>
        <v>0</v>
      </c>
      <c r="F134" s="385">
        <f t="array" ref="F134">SUM(G134:R134*(MOD(COLUMN(G134:R134),3)=0))</f>
        <v>0</v>
      </c>
      <c r="G134" s="391">
        <f t="shared" si="118"/>
        <v>0</v>
      </c>
      <c r="H134" s="392">
        <f t="shared" si="113"/>
        <v>0</v>
      </c>
      <c r="I134" s="359">
        <f t="shared" si="119"/>
        <v>0</v>
      </c>
      <c r="J134" s="391">
        <f t="shared" si="120"/>
        <v>0</v>
      </c>
      <c r="K134" s="392">
        <f t="shared" si="114"/>
        <v>0</v>
      </c>
      <c r="L134" s="359">
        <f t="shared" si="121"/>
        <v>0</v>
      </c>
      <c r="M134" s="392">
        <f t="shared" si="115"/>
        <v>0</v>
      </c>
      <c r="N134" s="392">
        <f t="shared" si="116"/>
        <v>0</v>
      </c>
      <c r="O134" s="359">
        <f t="shared" si="122"/>
        <v>0</v>
      </c>
      <c r="P134" s="392">
        <f t="shared" si="117"/>
        <v>0</v>
      </c>
      <c r="Q134" s="392">
        <f t="shared" si="123"/>
        <v>0</v>
      </c>
      <c r="R134" s="370">
        <f t="shared" si="124"/>
        <v>0</v>
      </c>
    </row>
    <row r="135" spans="1:18" ht="15.75" thickBot="1" x14ac:dyDescent="0.3">
      <c r="A135" s="654"/>
      <c r="B135" s="656"/>
      <c r="C135" s="382" t="s">
        <v>35</v>
      </c>
      <c r="D135" s="386">
        <f t="array" ref="D135">SUM(G135:R135*(MOD(COLUMN(G135:R135),3)=1))</f>
        <v>0</v>
      </c>
      <c r="E135" s="387">
        <f t="array" ref="E135">SUM(G135:R135*(MOD(COLUMN(G135:R135),3)=2))</f>
        <v>0</v>
      </c>
      <c r="F135" s="388">
        <f t="array" ref="F135">SUM(G135:R135*(MOD(COLUMN(G135:R135),3)=0))</f>
        <v>0</v>
      </c>
      <c r="G135" s="393">
        <f t="shared" si="118"/>
        <v>0</v>
      </c>
      <c r="H135" s="394">
        <f t="shared" si="113"/>
        <v>0</v>
      </c>
      <c r="I135" s="360">
        <f t="shared" si="119"/>
        <v>0</v>
      </c>
      <c r="J135" s="393">
        <f t="shared" si="120"/>
        <v>0</v>
      </c>
      <c r="K135" s="394">
        <f t="shared" si="114"/>
        <v>0</v>
      </c>
      <c r="L135" s="360">
        <f t="shared" si="121"/>
        <v>0</v>
      </c>
      <c r="M135" s="394">
        <f t="shared" si="115"/>
        <v>0</v>
      </c>
      <c r="N135" s="394">
        <f t="shared" si="116"/>
        <v>0</v>
      </c>
      <c r="O135" s="360">
        <f t="shared" si="122"/>
        <v>0</v>
      </c>
      <c r="P135" s="394">
        <f t="shared" si="117"/>
        <v>0</v>
      </c>
      <c r="Q135" s="394">
        <f t="shared" si="123"/>
        <v>0</v>
      </c>
      <c r="R135" s="371">
        <f t="shared" si="124"/>
        <v>0</v>
      </c>
    </row>
  </sheetData>
  <mergeCells count="39">
    <mergeCell ref="J1:L1"/>
    <mergeCell ref="J2:L2"/>
    <mergeCell ref="J3:L3"/>
    <mergeCell ref="M2:O2"/>
    <mergeCell ref="M3:O3"/>
    <mergeCell ref="A76:A85"/>
    <mergeCell ref="B76:B85"/>
    <mergeCell ref="A35:A44"/>
    <mergeCell ref="B35:B44"/>
    <mergeCell ref="A55:A64"/>
    <mergeCell ref="B55:B64"/>
    <mergeCell ref="A45:A54"/>
    <mergeCell ref="B45:B54"/>
    <mergeCell ref="A126:A135"/>
    <mergeCell ref="B126:B135"/>
    <mergeCell ref="A106:A115"/>
    <mergeCell ref="B106:B115"/>
    <mergeCell ref="A86:A95"/>
    <mergeCell ref="B86:B95"/>
    <mergeCell ref="A116:A125"/>
    <mergeCell ref="B116:B125"/>
    <mergeCell ref="A96:A105"/>
    <mergeCell ref="B96:B105"/>
    <mergeCell ref="P3:R3"/>
    <mergeCell ref="A66:A75"/>
    <mergeCell ref="B66:B75"/>
    <mergeCell ref="P1:R1"/>
    <mergeCell ref="P2:R2"/>
    <mergeCell ref="A25:A34"/>
    <mergeCell ref="B25:B34"/>
    <mergeCell ref="A5:A14"/>
    <mergeCell ref="B5:B14"/>
    <mergeCell ref="A15:A24"/>
    <mergeCell ref="B15:B24"/>
    <mergeCell ref="G3:I3"/>
    <mergeCell ref="M1:O1"/>
    <mergeCell ref="D1:F1"/>
    <mergeCell ref="G1:I1"/>
    <mergeCell ref="G2:I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M40"/>
  <sheetViews>
    <sheetView tabSelected="1" zoomScale="85" zoomScaleNormal="85" workbookViewId="0">
      <selection activeCell="F10" sqref="F10"/>
    </sheetView>
  </sheetViews>
  <sheetFormatPr defaultColWidth="8.85546875" defaultRowHeight="15" outlineLevelCol="1" x14ac:dyDescent="0.25"/>
  <cols>
    <col min="2" max="2" width="54.140625" customWidth="1"/>
    <col min="3" max="3" width="18.85546875" customWidth="1"/>
    <col min="4" max="13" width="16" customWidth="1" outlineLevel="1"/>
  </cols>
  <sheetData>
    <row r="1" spans="1:13" ht="21" x14ac:dyDescent="0.35">
      <c r="A1" s="114" t="s">
        <v>99</v>
      </c>
      <c r="B1" s="115"/>
      <c r="D1" s="103"/>
      <c r="E1" s="101"/>
      <c r="F1" s="101"/>
      <c r="G1" s="101"/>
      <c r="H1" s="101"/>
      <c r="I1" s="101"/>
      <c r="J1" s="101"/>
      <c r="K1" s="101"/>
      <c r="L1" s="101"/>
      <c r="M1" s="97"/>
    </row>
    <row r="2" spans="1:13" ht="15.75" x14ac:dyDescent="0.25">
      <c r="A2" s="116"/>
      <c r="B2" s="102"/>
      <c r="D2" s="99"/>
      <c r="E2" s="99"/>
      <c r="F2" s="99"/>
      <c r="G2" s="99"/>
      <c r="H2" s="99"/>
      <c r="I2" s="99"/>
      <c r="J2" s="99"/>
      <c r="K2" s="99"/>
      <c r="L2" s="99"/>
      <c r="M2" s="93"/>
    </row>
    <row r="3" spans="1:13" ht="15.75" x14ac:dyDescent="0.25">
      <c r="A3" s="239" t="s">
        <v>148</v>
      </c>
      <c r="B3" s="102"/>
      <c r="D3" s="93"/>
      <c r="E3" s="93"/>
      <c r="F3" s="93"/>
      <c r="G3" s="93"/>
      <c r="H3" s="93"/>
      <c r="I3" s="93"/>
      <c r="J3" s="93"/>
      <c r="K3" s="93"/>
      <c r="L3" s="93"/>
      <c r="M3" s="93"/>
    </row>
    <row r="4" spans="1:13" x14ac:dyDescent="0.25">
      <c r="D4" s="94"/>
      <c r="E4" s="94"/>
      <c r="F4" s="94"/>
      <c r="G4" s="94"/>
      <c r="H4" s="94"/>
      <c r="I4" s="94"/>
      <c r="J4" s="94"/>
      <c r="K4" s="94"/>
      <c r="L4" s="94"/>
      <c r="M4" s="94"/>
    </row>
    <row r="5" spans="1:13" ht="15.75" thickBot="1" x14ac:dyDescent="0.3">
      <c r="A5" s="103"/>
      <c r="B5" s="104"/>
      <c r="C5" s="98"/>
      <c r="D5" s="670" t="s">
        <v>100</v>
      </c>
      <c r="E5" s="670"/>
      <c r="F5" s="670"/>
      <c r="G5" s="670"/>
      <c r="H5" s="670"/>
      <c r="I5" s="670"/>
      <c r="J5" s="670"/>
      <c r="K5" s="670"/>
      <c r="L5" s="670"/>
      <c r="M5" s="670"/>
    </row>
    <row r="6" spans="1:13" x14ac:dyDescent="0.25">
      <c r="A6" s="236"/>
      <c r="B6" s="232" t="s">
        <v>24</v>
      </c>
      <c r="C6" s="108" t="s">
        <v>104</v>
      </c>
      <c r="D6" s="124" t="s">
        <v>26</v>
      </c>
      <c r="E6" s="125" t="s">
        <v>27</v>
      </c>
      <c r="F6" s="125" t="s">
        <v>28</v>
      </c>
      <c r="G6" s="125" t="s">
        <v>29</v>
      </c>
      <c r="H6" s="125" t="s">
        <v>30</v>
      </c>
      <c r="I6" s="125" t="s">
        <v>31</v>
      </c>
      <c r="J6" s="125" t="s">
        <v>32</v>
      </c>
      <c r="K6" s="125" t="s">
        <v>33</v>
      </c>
      <c r="L6" s="125" t="s">
        <v>34</v>
      </c>
      <c r="M6" s="126" t="s">
        <v>35</v>
      </c>
    </row>
    <row r="7" spans="1:13" x14ac:dyDescent="0.25">
      <c r="A7" s="237"/>
      <c r="B7" s="233" t="s">
        <v>107</v>
      </c>
      <c r="C7" s="109">
        <f t="shared" ref="C7:C12" si="0">SUM(D7:M7)</f>
        <v>0</v>
      </c>
      <c r="D7" s="127">
        <f>'TCO Alt. 2 - SW'!$E5+'TCO Alt. 2 - SW'!$E15</f>
        <v>0</v>
      </c>
      <c r="E7" s="106">
        <f>'TCO Alt. 2 - SW'!$E6+'TCO Alt. 2 - SW'!$E16</f>
        <v>0</v>
      </c>
      <c r="F7" s="106">
        <f>'TCO Alt. 2 - SW'!$E7+'TCO Alt. 2 - SW'!$E17</f>
        <v>0</v>
      </c>
      <c r="G7" s="106">
        <f>'TCO Alt. 2 - SW'!$E8+'TCO Alt. 2 - SW'!$E18</f>
        <v>0</v>
      </c>
      <c r="H7" s="106">
        <f>'TCO Alt. 2 - SW'!$E9+'TCO Alt. 2 - SW'!$E19</f>
        <v>0</v>
      </c>
      <c r="I7" s="106">
        <f>'TCO Alt. 2 - SW'!$E10+'TCO Alt. 2 - SW'!$E20</f>
        <v>0</v>
      </c>
      <c r="J7" s="106">
        <f>'TCO Alt. 2 - SW'!$E11+'TCO Alt. 2 - SW'!$E21</f>
        <v>0</v>
      </c>
      <c r="K7" s="106">
        <f>'TCO Alt. 2 - SW'!$E12+'TCO Alt. 2 - SW'!$E22</f>
        <v>0</v>
      </c>
      <c r="L7" s="106">
        <f>'TCO Alt. 2 - SW'!$E13+'TCO Alt. 2 - SW'!$E23</f>
        <v>0</v>
      </c>
      <c r="M7" s="128">
        <f>'TCO Alt. 2 - SW'!$E14+'TCO Alt. 2 - SW'!$E24</f>
        <v>0</v>
      </c>
    </row>
    <row r="8" spans="1:13" x14ac:dyDescent="0.25">
      <c r="A8" s="237"/>
      <c r="B8" s="233" t="s">
        <v>108</v>
      </c>
      <c r="C8" s="109">
        <f t="shared" si="0"/>
        <v>0</v>
      </c>
      <c r="D8" s="106">
        <f>'TCO Alt. 2 - SW'!$E63+'TCO Alt. 2 - SW'!$E73</f>
        <v>0</v>
      </c>
      <c r="E8" s="106">
        <f>'TCO Alt. 2 - SW'!$E64+'TCO Alt. 2 - SW'!$E74</f>
        <v>0</v>
      </c>
      <c r="F8" s="106">
        <f>'TCO Alt. 2 - SW'!$E65+'TCO Alt. 2 - SW'!$E75</f>
        <v>0</v>
      </c>
      <c r="G8" s="106">
        <f>'TCO Alt. 2 - SW'!$E66+'TCO Alt. 2 - SW'!$E76</f>
        <v>0</v>
      </c>
      <c r="H8" s="106">
        <f>'TCO Alt. 2 - SW'!$E67+'TCO Alt. 2 - SW'!$E77</f>
        <v>0</v>
      </c>
      <c r="I8" s="106">
        <f>'TCO Alt. 2 - SW'!$E68+'TCO Alt. 2 - SW'!$E78</f>
        <v>0</v>
      </c>
      <c r="J8" s="106">
        <f>'TCO Alt. 2 - SW'!$E69+'TCO Alt. 2 - SW'!$E79</f>
        <v>0</v>
      </c>
      <c r="K8" s="106">
        <f>'TCO Alt. 2 - SW'!$E70+'TCO Alt. 2 - SW'!$E80</f>
        <v>0</v>
      </c>
      <c r="L8" s="106">
        <f>'TCO Alt. 2 - SW'!$E71+'TCO Alt. 2 - SW'!$E81</f>
        <v>0</v>
      </c>
      <c r="M8" s="128">
        <f>'TCO Alt. 2 - SW'!$E72+'TCO Alt. 2 - SW'!$E82</f>
        <v>0</v>
      </c>
    </row>
    <row r="9" spans="1:13" x14ac:dyDescent="0.25">
      <c r="A9" s="237"/>
      <c r="B9" s="233" t="s">
        <v>109</v>
      </c>
      <c r="C9" s="109">
        <f t="shared" si="0"/>
        <v>5349512.26</v>
      </c>
      <c r="D9" s="127">
        <f>'TCO Alt. 2 - SW'!$E26+'TCO Alt. 2 - SW'!$E36+'TCO Alt. 2 - SW'!$E46+(SUM('TCO Alt. 2 - SW'!E56:E60)/2)</f>
        <v>4052046.5300000003</v>
      </c>
      <c r="E9" s="106">
        <f>'TCO Alt. 2 - SW'!$E27+'TCO Alt. 2 - SW'!$E37+'TCO Alt. 2 - SW'!$E47+(SUM('TCO Alt. 2 - SW'!E56:E60)/2)</f>
        <v>1297465.73</v>
      </c>
      <c r="F9" s="106">
        <f>'TCO Alt. 2 - SW'!$E28+'TCO Alt. 2 - SW'!$E38+'TCO Alt. 2 - SW'!$E48</f>
        <v>0</v>
      </c>
      <c r="G9" s="106">
        <f>'TCO Alt. 2 - SW'!$E28+'TCO Alt. 2 - SW'!$E38+'TCO Alt. 2 - SW'!$E48</f>
        <v>0</v>
      </c>
      <c r="H9" s="106">
        <f>'TCO Alt. 2 - SW'!$E28+'TCO Alt. 2 - SW'!$E38+'TCO Alt. 2 - SW'!$E48</f>
        <v>0</v>
      </c>
      <c r="I9" s="106">
        <f>'TCO Alt. 2 - SW'!$E28+'TCO Alt. 2 - SW'!$E38+'TCO Alt. 2 - SW'!$E48</f>
        <v>0</v>
      </c>
      <c r="J9" s="106">
        <f>'TCO Alt. 2 - SW'!$E28+'TCO Alt. 2 - SW'!$E38+'TCO Alt. 2 - SW'!$E48</f>
        <v>0</v>
      </c>
      <c r="K9" s="106">
        <f>'TCO Alt. 2 - SW'!$E28+'TCO Alt. 2 - SW'!$E38+'TCO Alt. 2 - SW'!$E48</f>
        <v>0</v>
      </c>
      <c r="L9" s="106">
        <f>'TCO Alt. 2 - SW'!$E28+'TCO Alt. 2 - SW'!$E38+'TCO Alt. 2 - SW'!$E48</f>
        <v>0</v>
      </c>
      <c r="M9" s="106">
        <f>'TCO Alt. 2 - SW'!$E28+'TCO Alt. 2 - SW'!$E38+'TCO Alt. 2 - SW'!$E48</f>
        <v>0</v>
      </c>
    </row>
    <row r="10" spans="1:13" x14ac:dyDescent="0.25">
      <c r="A10" s="237"/>
      <c r="B10" s="233" t="s">
        <v>110</v>
      </c>
      <c r="C10" s="109">
        <f t="shared" si="0"/>
        <v>8104542.4732799986</v>
      </c>
      <c r="D10" s="106">
        <f>'TCO Alt. 2 - SW'!$E84+'TCO Alt. 2 - SW'!$E94+'TCO Alt. 2 - SW'!$E104+'TCO Alt. 2 - SW'!$E114+'TCO Alt. 2 - SW'!$E124</f>
        <v>528000</v>
      </c>
      <c r="E10" s="106">
        <f>'TCO Alt. 2 - SW'!$E85+'TCO Alt. 2 - SW'!$E95+'TCO Alt. 2 - SW'!$E105+'TCO Alt. 2 - SW'!$E115+'TCO Alt. 2 - SW'!$E125</f>
        <v>528000</v>
      </c>
      <c r="F10" s="106">
        <f>'TCO Alt. 2 - SW'!$E86+'TCO Alt. 2 - SW'!$E96+'TCO Alt. 2 - SW'!$E106+'TCO Alt. 2 - SW'!$E116+'TCO Alt. 2 - SW'!$E126</f>
        <v>881067.80915999995</v>
      </c>
      <c r="G10" s="106">
        <f>'TCO Alt. 2 - SW'!$E87+'TCO Alt. 2 - SW'!$E97+'TCO Alt. 2 - SW'!$E107+'TCO Alt. 2 - SW'!$E117+'TCO Alt. 2 - SW'!$E127</f>
        <v>881067.80915999995</v>
      </c>
      <c r="H10" s="106">
        <f>'TCO Alt. 2 - SW'!$E88+'TCO Alt. 2 - SW'!$E98+'TCO Alt. 2 - SW'!$E108+'TCO Alt. 2 - SW'!$E118+'TCO Alt. 2 - SW'!$E128</f>
        <v>881067.80915999995</v>
      </c>
      <c r="I10" s="106">
        <f>'TCO Alt. 2 - SW'!$E89+'TCO Alt. 2 - SW'!$E99+'TCO Alt. 2 - SW'!$E109+'TCO Alt. 2 - SW'!$E119+'TCO Alt. 2 - SW'!$E129</f>
        <v>881067.80915999995</v>
      </c>
      <c r="J10" s="106">
        <f>'TCO Alt. 2 - SW'!$E90+'TCO Alt. 2 - SW'!$E100+'TCO Alt. 2 - SW'!$E110+'TCO Alt. 2 - SW'!$E120+'TCO Alt. 2 - SW'!$E130</f>
        <v>881067.80915999995</v>
      </c>
      <c r="K10" s="106">
        <f>'TCO Alt. 2 - SW'!$E91+'TCO Alt. 2 - SW'!$E101+'TCO Alt. 2 - SW'!$E111+'TCO Alt. 2 - SW'!$E121+'TCO Alt. 2 - SW'!$E131</f>
        <v>881067.80915999995</v>
      </c>
      <c r="L10" s="106">
        <f>'TCO Alt. 2 - SW'!$E92+'TCO Alt. 2 - SW'!$E102+'TCO Alt. 2 - SW'!$E112+'TCO Alt. 2 - SW'!$E122+'TCO Alt. 2 - SW'!$E132</f>
        <v>881067.80915999995</v>
      </c>
      <c r="M10" s="128">
        <f>'TCO Alt. 2 - SW'!$E93+'TCO Alt. 2 - SW'!$E103+'TCO Alt. 2 - SW'!$E113+'TCO Alt. 2 - SW'!$E123+'TCO Alt. 2 - SW'!$E133</f>
        <v>881067.80915999995</v>
      </c>
    </row>
    <row r="11" spans="1:13" x14ac:dyDescent="0.25">
      <c r="A11" s="237"/>
      <c r="B11" s="233" t="s">
        <v>101</v>
      </c>
      <c r="C11" s="109">
        <f t="shared" si="0"/>
        <v>0</v>
      </c>
      <c r="D11" s="127">
        <f>'TCO Alt. 2 - HW'!$E4+'TCO Alt. 2 - HW'!$E14+'TCO Alt. 2 - HW'!$E24</f>
        <v>0</v>
      </c>
      <c r="E11" s="106">
        <f>'TCO Alt. 2 - HW'!$E5+'TCO Alt. 2 - HW'!$E15+'TCO Alt. 2 - HW'!$E25</f>
        <v>0</v>
      </c>
      <c r="F11" s="106">
        <f>'TCO Alt. 2 - HW'!$E6+'TCO Alt. 2 - HW'!$E16+'TCO Alt. 2 - HW'!$E26</f>
        <v>0</v>
      </c>
      <c r="G11" s="106">
        <f>'TCO Alt. 2 - HW'!$E7+'TCO Alt. 2 - HW'!$E17+'TCO Alt. 2 - HW'!$E27</f>
        <v>0</v>
      </c>
      <c r="H11" s="106">
        <f>'TCO Alt. 2 - HW'!$E8+'TCO Alt. 2 - HW'!$E18+'TCO Alt. 2 - HW'!$E28</f>
        <v>0</v>
      </c>
      <c r="I11" s="106">
        <f>'TCO Alt. 2 - HW'!$E9+'TCO Alt. 2 - HW'!$E19+'TCO Alt. 2 - HW'!$E29</f>
        <v>0</v>
      </c>
      <c r="J11" s="106">
        <f>'TCO Alt. 2 - HW'!$E10+'TCO Alt. 2 - HW'!$E20+'TCO Alt. 2 - HW'!$E30</f>
        <v>0</v>
      </c>
      <c r="K11" s="106">
        <f>'TCO Alt. 2 - HW'!$E11+'TCO Alt. 2 - HW'!$E21+'TCO Alt. 2 - HW'!$E31</f>
        <v>0</v>
      </c>
      <c r="L11" s="106">
        <f>'TCO Alt. 2 - HW'!$E12+'TCO Alt. 2 - HW'!$E22+'TCO Alt. 2 - HW'!$E32</f>
        <v>0</v>
      </c>
      <c r="M11" s="128">
        <f>'TCO Alt. 2 - HW'!$E13+'TCO Alt. 2 - HW'!$E23+'TCO Alt. 2 - HW'!$E33</f>
        <v>0</v>
      </c>
    </row>
    <row r="12" spans="1:13" ht="15.75" thickBot="1" x14ac:dyDescent="0.3">
      <c r="A12" s="237"/>
      <c r="B12" s="234" t="s">
        <v>102</v>
      </c>
      <c r="C12" s="110">
        <f t="shared" si="0"/>
        <v>0</v>
      </c>
      <c r="D12" s="129">
        <f>'TCO Alt. 2 - HW'!$E35+'TCO Alt. 2 - HW'!$E45+'TCO Alt. 2 - HW'!$E55+'TCO Alt. 2 - HW'!$E65+'TCO Alt. 2 - HW'!$E75</f>
        <v>0</v>
      </c>
      <c r="E12" s="130">
        <f>'TCO Alt. 2 - HW'!$E36+'TCO Alt. 2 - HW'!$E46+'TCO Alt. 2 - HW'!$E56+'TCO Alt. 2 - HW'!$E66+'TCO Alt. 2 - HW'!$E76</f>
        <v>0</v>
      </c>
      <c r="F12" s="130">
        <f>'TCO Alt. 2 - HW'!$E37+'TCO Alt. 2 - HW'!$E47+'TCO Alt. 2 - HW'!$E57+'TCO Alt. 2 - HW'!$E67+'TCO Alt. 2 - HW'!$E77</f>
        <v>0</v>
      </c>
      <c r="G12" s="130">
        <f>'TCO Alt. 2 - HW'!$E38+'TCO Alt. 2 - HW'!$E48+'TCO Alt. 2 - HW'!$E58+'TCO Alt. 2 - HW'!$E68+'TCO Alt. 2 - HW'!$E78</f>
        <v>0</v>
      </c>
      <c r="H12" s="130">
        <f>'TCO Alt. 2 - HW'!$E39+'TCO Alt. 2 - HW'!$E49+'TCO Alt. 2 - HW'!$E59+'TCO Alt. 2 - HW'!$E69+'TCO Alt. 2 - HW'!$E79</f>
        <v>0</v>
      </c>
      <c r="I12" s="130">
        <f>'TCO Alt. 2 - HW'!$E40+'TCO Alt. 2 - HW'!$E50+'TCO Alt. 2 - HW'!$E60+'TCO Alt. 2 - HW'!$E70+'TCO Alt. 2 - HW'!$E80</f>
        <v>0</v>
      </c>
      <c r="J12" s="130">
        <f>'TCO Alt. 2 - HW'!$E41+'TCO Alt. 2 - HW'!$E51+'TCO Alt. 2 - HW'!$E61+'TCO Alt. 2 - HW'!$E71+'TCO Alt. 2 - HW'!$E81</f>
        <v>0</v>
      </c>
      <c r="K12" s="130">
        <f>'TCO Alt. 2 - HW'!$E42+'TCO Alt. 2 - HW'!$E52+'TCO Alt. 2 - HW'!$E62+'TCO Alt. 2 - HW'!$E72+'TCO Alt. 2 - HW'!$E82</f>
        <v>0</v>
      </c>
      <c r="L12" s="130">
        <f>'TCO Alt. 2 - HW'!$E43+'TCO Alt. 2 - HW'!$E53+'TCO Alt. 2 - HW'!$E63+'TCO Alt. 2 - HW'!$E73+'TCO Alt. 2 - HW'!$E83</f>
        <v>0</v>
      </c>
      <c r="M12" s="131">
        <f>'TCO Alt. 2 - HW'!$E44+'TCO Alt. 2 - HW'!$E54+'TCO Alt. 2 - HW'!$E64+'TCO Alt. 2 - HW'!$E74+'TCO Alt. 2 - HW'!$E84</f>
        <v>0</v>
      </c>
    </row>
    <row r="13" spans="1:13" ht="15.75" thickBot="1" x14ac:dyDescent="0.3">
      <c r="A13" s="238"/>
      <c r="B13" s="235" t="s">
        <v>103</v>
      </c>
      <c r="C13" s="111">
        <f>SUM(C7:C12)</f>
        <v>13454054.733279999</v>
      </c>
      <c r="D13" s="107">
        <f>SUM(D7:D12)</f>
        <v>4580046.53</v>
      </c>
      <c r="E13" s="96">
        <f t="shared" ref="E13:M13" si="1">SUM(E7:E12)</f>
        <v>1825465.73</v>
      </c>
      <c r="F13" s="96">
        <f t="shared" si="1"/>
        <v>881067.80915999995</v>
      </c>
      <c r="G13" s="96">
        <f t="shared" si="1"/>
        <v>881067.80915999995</v>
      </c>
      <c r="H13" s="96">
        <f t="shared" si="1"/>
        <v>881067.80915999995</v>
      </c>
      <c r="I13" s="96">
        <f t="shared" si="1"/>
        <v>881067.80915999995</v>
      </c>
      <c r="J13" s="96">
        <f t="shared" si="1"/>
        <v>881067.80915999995</v>
      </c>
      <c r="K13" s="96">
        <f t="shared" si="1"/>
        <v>881067.80915999995</v>
      </c>
      <c r="L13" s="113">
        <f t="shared" si="1"/>
        <v>881067.80915999995</v>
      </c>
      <c r="M13" s="112">
        <f t="shared" si="1"/>
        <v>881067.80915999995</v>
      </c>
    </row>
    <row r="14" spans="1:13" x14ac:dyDescent="0.25">
      <c r="A14" s="94"/>
      <c r="B14" s="94"/>
      <c r="C14" s="94"/>
      <c r="D14" s="94"/>
      <c r="E14" s="94"/>
      <c r="F14" s="94"/>
      <c r="G14" s="94"/>
      <c r="H14" s="94"/>
      <c r="I14" s="94"/>
      <c r="J14" s="94"/>
      <c r="K14" s="94"/>
      <c r="L14" s="94"/>
      <c r="M14" s="94"/>
    </row>
    <row r="15" spans="1:13" x14ac:dyDescent="0.25">
      <c r="A15" s="94"/>
      <c r="B15" s="94"/>
      <c r="C15" s="94"/>
      <c r="D15" s="94"/>
      <c r="E15" s="94"/>
      <c r="F15" s="94"/>
      <c r="G15" s="94"/>
      <c r="H15" s="94"/>
      <c r="I15" s="94"/>
      <c r="J15" s="94"/>
      <c r="K15" s="94"/>
      <c r="L15" s="94"/>
      <c r="M15" s="94"/>
    </row>
    <row r="16" spans="1:13" ht="32.25" customHeight="1" x14ac:dyDescent="0.25">
      <c r="A16" s="671" t="s">
        <v>115</v>
      </c>
      <c r="B16" s="671"/>
      <c r="C16" s="671"/>
      <c r="D16" s="100"/>
      <c r="E16" s="99"/>
      <c r="F16" s="99"/>
      <c r="G16" s="99"/>
      <c r="H16" s="99"/>
      <c r="I16" s="99"/>
      <c r="J16" s="99"/>
      <c r="K16" s="99"/>
      <c r="L16" s="99"/>
      <c r="M16" s="93"/>
    </row>
    <row r="17" spans="1:13" x14ac:dyDescent="0.25">
      <c r="A17" s="94"/>
      <c r="B17" s="94"/>
      <c r="C17" s="94"/>
      <c r="D17" s="94"/>
      <c r="E17" s="94"/>
      <c r="F17" s="94"/>
      <c r="G17" s="94"/>
      <c r="H17" s="94"/>
      <c r="I17" s="94"/>
      <c r="J17" s="94"/>
      <c r="K17" s="94"/>
      <c r="L17" s="94"/>
      <c r="M17" s="94"/>
    </row>
    <row r="18" spans="1:13" ht="15.75" thickBot="1" x14ac:dyDescent="0.3">
      <c r="A18" s="103"/>
      <c r="B18" s="104"/>
      <c r="C18" s="98"/>
      <c r="D18" s="670" t="s">
        <v>100</v>
      </c>
      <c r="E18" s="670"/>
      <c r="F18" s="670"/>
      <c r="G18" s="670"/>
      <c r="H18" s="670"/>
      <c r="I18" s="670"/>
      <c r="J18" s="670"/>
      <c r="K18" s="670"/>
      <c r="L18" s="670"/>
      <c r="M18" s="670"/>
    </row>
    <row r="19" spans="1:13" ht="17.100000000000001" customHeight="1" x14ac:dyDescent="0.25">
      <c r="A19" s="236"/>
      <c r="B19" s="231" t="s">
        <v>23</v>
      </c>
      <c r="C19" s="108" t="s">
        <v>104</v>
      </c>
      <c r="D19" s="124" t="s">
        <v>26</v>
      </c>
      <c r="E19" s="125" t="s">
        <v>27</v>
      </c>
      <c r="F19" s="125" t="s">
        <v>28</v>
      </c>
      <c r="G19" s="125" t="s">
        <v>29</v>
      </c>
      <c r="H19" s="125" t="s">
        <v>30</v>
      </c>
      <c r="I19" s="125" t="s">
        <v>31</v>
      </c>
      <c r="J19" s="125" t="s">
        <v>32</v>
      </c>
      <c r="K19" s="125" t="s">
        <v>33</v>
      </c>
      <c r="L19" s="125" t="s">
        <v>34</v>
      </c>
      <c r="M19" s="126" t="s">
        <v>35</v>
      </c>
    </row>
    <row r="20" spans="1:13" ht="15" customHeight="1" x14ac:dyDescent="0.25">
      <c r="A20" s="237"/>
      <c r="B20" s="122" t="s">
        <v>107</v>
      </c>
      <c r="C20" s="109">
        <f t="shared" ref="C20:C25" si="2">SUM(D20:M20)</f>
        <v>0</v>
      </c>
      <c r="D20" s="127">
        <f>'TCO Alt. 1 - SW'!E5+'TCO Alt. 1 - SW'!E15</f>
        <v>0</v>
      </c>
      <c r="E20" s="106">
        <f>'TCO Alt. 1 - SW'!E6+'TCO Alt. 1 - SW'!E16</f>
        <v>0</v>
      </c>
      <c r="F20" s="106">
        <f>'TCO Alt. 1 - SW'!E7+'TCO Alt. 1 - SW'!E17</f>
        <v>0</v>
      </c>
      <c r="G20" s="106">
        <f>'TCO Alt. 1 - SW'!E8+'TCO Alt. 1 - SW'!E18</f>
        <v>0</v>
      </c>
      <c r="H20" s="106">
        <f>'TCO Alt. 1 - SW'!E9+'TCO Alt. 1 - SW'!E19</f>
        <v>0</v>
      </c>
      <c r="I20" s="106">
        <f>'TCO Alt. 1 - SW'!E10+'TCO Alt. 1 - SW'!E20</f>
        <v>0</v>
      </c>
      <c r="J20" s="106">
        <f>'TCO Alt. 1 - SW'!E11+'TCO Alt. 1 - SW'!E21</f>
        <v>0</v>
      </c>
      <c r="K20" s="106">
        <f>'TCO Alt. 1 - SW'!E12+'TCO Alt. 1 - SW'!E22</f>
        <v>0</v>
      </c>
      <c r="L20" s="106">
        <f>'TCO Alt. 1 - SW'!E13+'TCO Alt. 1 - SW'!E23</f>
        <v>0</v>
      </c>
      <c r="M20" s="128">
        <f>'TCO Alt. 1 - SW'!E14+'TCO Alt. 1 - SW'!E24</f>
        <v>0</v>
      </c>
    </row>
    <row r="21" spans="1:13" ht="17.45" customHeight="1" x14ac:dyDescent="0.25">
      <c r="A21" s="237"/>
      <c r="B21" s="122" t="s">
        <v>108</v>
      </c>
      <c r="C21" s="109">
        <f t="shared" si="2"/>
        <v>0</v>
      </c>
      <c r="D21" s="127">
        <f>'TCO Alt. 1 - SW'!E58+'TCO Alt. 1 - SW'!E68</f>
        <v>0</v>
      </c>
      <c r="E21" s="106">
        <f>'TCO Alt. 1 - SW'!E59+'TCO Alt. 1 - SW'!E69</f>
        <v>0</v>
      </c>
      <c r="F21" s="106">
        <f>'TCO Alt. 1 - SW'!E60+'TCO Alt. 1 - SW'!E70</f>
        <v>0</v>
      </c>
      <c r="G21" s="106">
        <f>'TCO Alt. 1 - SW'!E61+'TCO Alt. 1 - SW'!E71</f>
        <v>0</v>
      </c>
      <c r="H21" s="106">
        <f>'TCO Alt. 1 - SW'!E62+'TCO Alt. 1 - SW'!E72</f>
        <v>0</v>
      </c>
      <c r="I21" s="106">
        <f>'TCO Alt. 1 - SW'!E63+'TCO Alt. 1 - SW'!E73</f>
        <v>0</v>
      </c>
      <c r="J21" s="106">
        <f>'TCO Alt. 1 - SW'!E64+'TCO Alt. 1 - SW'!E74</f>
        <v>0</v>
      </c>
      <c r="K21" s="106">
        <f>'TCO Alt. 1 - SW'!E65+'TCO Alt. 1 - SW'!E75</f>
        <v>0</v>
      </c>
      <c r="L21" s="106">
        <f>'TCO Alt. 1 - SW'!E66+'TCO Alt. 1 - SW'!E76</f>
        <v>0</v>
      </c>
      <c r="M21" s="128">
        <f>'TCO Alt. 1 - SW'!E67+'TCO Alt. 1 - SW'!E77</f>
        <v>0</v>
      </c>
    </row>
    <row r="22" spans="1:13" x14ac:dyDescent="0.25">
      <c r="A22" s="237"/>
      <c r="B22" s="122" t="s">
        <v>109</v>
      </c>
      <c r="C22" s="109">
        <f t="shared" si="2"/>
        <v>0</v>
      </c>
      <c r="D22" s="127">
        <f>'TCO Alt. 1 - SW'!E26+'TCO Alt. 1 - SW'!E36+'TCO Alt. 1 - SW'!E46</f>
        <v>0</v>
      </c>
      <c r="E22" s="106">
        <f>'TCO Alt. 1 - SW'!E27+'TCO Alt. 1 - SW'!E37+'TCO Alt. 1 - SW'!E47</f>
        <v>0</v>
      </c>
      <c r="F22" s="106">
        <f>'TCO Alt. 1 - SW'!E28+'TCO Alt. 1 - SW'!E38+'TCO Alt. 1 - SW'!E48</f>
        <v>0</v>
      </c>
      <c r="G22" s="106">
        <f>'TCO Alt. 1 - SW'!E29+'TCO Alt. 1 - SW'!E39+'TCO Alt. 1 - SW'!E49</f>
        <v>0</v>
      </c>
      <c r="H22" s="106">
        <f>'TCO Alt. 1 - SW'!E30+'TCO Alt. 1 - SW'!E40+'TCO Alt. 1 - SW'!E50</f>
        <v>0</v>
      </c>
      <c r="I22" s="106">
        <f>'TCO Alt. 1 - SW'!E31+'TCO Alt. 1 - SW'!E41+'TCO Alt. 1 - SW'!E51</f>
        <v>0</v>
      </c>
      <c r="J22" s="106">
        <f>'TCO Alt. 1 - SW'!E32+'TCO Alt. 1 - SW'!E42+'TCO Alt. 1 - SW'!E52</f>
        <v>0</v>
      </c>
      <c r="K22" s="106">
        <f>'TCO Alt. 1 - SW'!E33+'TCO Alt. 1 - SW'!E43+'TCO Alt. 1 - SW'!E53</f>
        <v>0</v>
      </c>
      <c r="L22" s="106">
        <f>'TCO Alt. 1 - SW'!E34+'TCO Alt. 1 - SW'!E44+'TCO Alt. 1 - SW'!E54</f>
        <v>0</v>
      </c>
      <c r="M22" s="128">
        <f>'TCO Alt. 1 - SW'!E35+'TCO Alt. 1 - SW'!E45+'TCO Alt. 1 - SW'!E55</f>
        <v>0</v>
      </c>
    </row>
    <row r="23" spans="1:13" x14ac:dyDescent="0.25">
      <c r="A23" s="237"/>
      <c r="B23" s="122" t="s">
        <v>110</v>
      </c>
      <c r="C23" s="109">
        <f t="shared" si="2"/>
        <v>5280000</v>
      </c>
      <c r="D23" s="127">
        <f>'TCO Alt. 1 - SW'!E79+'TCO Alt. 1 - SW'!E89+'TCO Alt. 1 - SW'!E99+'TCO Alt. 1 - SW'!E109+'TCO Alt. 1 - SW'!E119</f>
        <v>528000</v>
      </c>
      <c r="E23" s="106">
        <f>'TCO Alt. 1 - SW'!E80+'TCO Alt. 1 - SW'!E90+'TCO Alt. 1 - SW'!E100+'TCO Alt. 1 - SW'!E110+'TCO Alt. 1 - SW'!E120</f>
        <v>528000</v>
      </c>
      <c r="F23" s="106">
        <f>'TCO Alt. 1 - SW'!E81+'TCO Alt. 1 - SW'!E91+'TCO Alt. 1 - SW'!E101+'TCO Alt. 1 - SW'!E111+'TCO Alt. 1 - SW'!E121</f>
        <v>528000</v>
      </c>
      <c r="G23" s="106">
        <f>'TCO Alt. 1 - SW'!E82+'TCO Alt. 1 - SW'!E92+'TCO Alt. 1 - SW'!E102+'TCO Alt. 1 - SW'!E112+'TCO Alt. 1 - SW'!E122</f>
        <v>528000</v>
      </c>
      <c r="H23" s="106">
        <f>'TCO Alt. 1 - SW'!E83+'TCO Alt. 1 - SW'!E93+'TCO Alt. 1 - SW'!E103+'TCO Alt. 1 - SW'!E113+'TCO Alt. 1 - SW'!E123</f>
        <v>528000</v>
      </c>
      <c r="I23" s="106">
        <f>'TCO Alt. 1 - SW'!E84+'TCO Alt. 1 - SW'!E94+'TCO Alt. 1 - SW'!E104+'TCO Alt. 1 - SW'!E114+'TCO Alt. 1 - SW'!E124</f>
        <v>528000</v>
      </c>
      <c r="J23" s="106">
        <f>'TCO Alt. 1 - SW'!E85+'TCO Alt. 1 - SW'!E95+'TCO Alt. 1 - SW'!E105+'TCO Alt. 1 - SW'!E115+'TCO Alt. 1 - SW'!E125</f>
        <v>528000</v>
      </c>
      <c r="K23" s="106">
        <f>'TCO Alt. 1 - SW'!E86+'TCO Alt. 1 - SW'!E96+'TCO Alt. 1 - SW'!E106+'TCO Alt. 1 - SW'!E116+'TCO Alt. 1 - SW'!E126</f>
        <v>528000</v>
      </c>
      <c r="L23" s="106">
        <f>'TCO Alt. 1 - SW'!E87+'TCO Alt. 1 - SW'!E97+'TCO Alt. 1 - SW'!E107+'TCO Alt. 1 - SW'!E117+'TCO Alt. 1 - SW'!E127</f>
        <v>528000</v>
      </c>
      <c r="M23" s="128">
        <f>'TCO Alt. 1 - SW'!E88+'TCO Alt. 1 - SW'!E98+'TCO Alt. 1 - SW'!E108+'TCO Alt. 1 - SW'!E118+'TCO Alt. 1 - SW'!E128</f>
        <v>528000</v>
      </c>
    </row>
    <row r="24" spans="1:13" x14ac:dyDescent="0.25">
      <c r="A24" s="237"/>
      <c r="B24" s="122" t="s">
        <v>101</v>
      </c>
      <c r="C24" s="109">
        <f t="shared" si="2"/>
        <v>0</v>
      </c>
      <c r="D24" s="127">
        <f>'TCO Alt. 1 - HW'!E4+'TCO Alt. 1 - HW'!E14+'TCO Alt. 1 - HW'!E24</f>
        <v>0</v>
      </c>
      <c r="E24" s="106">
        <f>'TCO Alt. 1 - HW'!E5+'TCO Alt. 1 - HW'!E15+'TCO Alt. 1 - HW'!E25</f>
        <v>0</v>
      </c>
      <c r="F24" s="106">
        <f>'TCO Alt. 1 - HW'!E6+'TCO Alt. 1 - HW'!E16+'TCO Alt. 1 - HW'!E26</f>
        <v>0</v>
      </c>
      <c r="G24" s="106">
        <f>'TCO Alt. 1 - HW'!E7+'TCO Alt. 1 - HW'!E17+'TCO Alt. 1 - HW'!E27</f>
        <v>0</v>
      </c>
      <c r="H24" s="106">
        <f>'TCO Alt. 1 - HW'!E8+'TCO Alt. 1 - HW'!E18+'TCO Alt. 1 - HW'!E28</f>
        <v>0</v>
      </c>
      <c r="I24" s="106">
        <f>'TCO Alt. 1 - HW'!E9+'TCO Alt. 1 - HW'!E19+'TCO Alt. 1 - HW'!E29</f>
        <v>0</v>
      </c>
      <c r="J24" s="106">
        <f>'TCO Alt. 1 - HW'!E10+'TCO Alt. 1 - HW'!E20+'TCO Alt. 1 - HW'!E30</f>
        <v>0</v>
      </c>
      <c r="K24" s="106">
        <f>'TCO Alt. 1 - HW'!E11+'TCO Alt. 1 - HW'!E21+'TCO Alt. 1 - HW'!E31</f>
        <v>0</v>
      </c>
      <c r="L24" s="106">
        <f>'TCO Alt. 1 - HW'!E12+'TCO Alt. 1 - HW'!E22+'TCO Alt. 1 - HW'!E32</f>
        <v>0</v>
      </c>
      <c r="M24" s="128">
        <f>'TCO Alt. 1 - HW'!E13+'TCO Alt. 1 - HW'!E23+'TCO Alt. 1 - HW'!E33</f>
        <v>0</v>
      </c>
    </row>
    <row r="25" spans="1:13" ht="15.75" thickBot="1" x14ac:dyDescent="0.3">
      <c r="A25" s="237"/>
      <c r="B25" s="123" t="s">
        <v>102</v>
      </c>
      <c r="C25" s="110">
        <f t="shared" si="2"/>
        <v>0</v>
      </c>
      <c r="D25" s="129">
        <f>'TCO Alt. 1 - HW'!E35+'TCO Alt. 1 - HW'!E45+'TCO Alt. 1 - HW'!E55+'TCO Alt. 1 - HW'!E65+'TCO Alt. 1 - HW'!E75</f>
        <v>0</v>
      </c>
      <c r="E25" s="130">
        <f>'TCO Alt. 1 - HW'!E36+'TCO Alt. 1 - HW'!E46+'TCO Alt. 1 - HW'!E56+'TCO Alt. 1 - HW'!E66+'TCO Alt. 1 - HW'!E76</f>
        <v>0</v>
      </c>
      <c r="F25" s="130">
        <f>'TCO Alt. 1 - HW'!E37+'TCO Alt. 1 - HW'!E47+'TCO Alt. 1 - HW'!E57+'TCO Alt. 1 - HW'!E67+'TCO Alt. 1 - HW'!E77</f>
        <v>0</v>
      </c>
      <c r="G25" s="130">
        <f>'TCO Alt. 1 - HW'!E38+'TCO Alt. 1 - HW'!E48+'TCO Alt. 1 - HW'!E58+'TCO Alt. 1 - HW'!E68+'TCO Alt. 1 - HW'!E78</f>
        <v>0</v>
      </c>
      <c r="H25" s="130">
        <f>'TCO Alt. 1 - HW'!E39+'TCO Alt. 1 - HW'!E49+'TCO Alt. 1 - HW'!E59+'TCO Alt. 1 - HW'!E69+'TCO Alt. 1 - HW'!E79</f>
        <v>0</v>
      </c>
      <c r="I25" s="130">
        <f>'TCO Alt. 1 - HW'!E40+'TCO Alt. 1 - HW'!E50+'TCO Alt. 1 - HW'!E60+'TCO Alt. 1 - HW'!E70+'TCO Alt. 1 - HW'!E80</f>
        <v>0</v>
      </c>
      <c r="J25" s="130">
        <f>'TCO Alt. 1 - HW'!E41+'TCO Alt. 1 - HW'!E51+'TCO Alt. 1 - HW'!E61+'TCO Alt. 1 - HW'!E71+'TCO Alt. 1 - HW'!E81</f>
        <v>0</v>
      </c>
      <c r="K25" s="130">
        <f>'TCO Alt. 1 - HW'!E42+'TCO Alt. 1 - HW'!E52+'TCO Alt. 1 - HW'!E62+'TCO Alt. 1 - HW'!E72+'TCO Alt. 1 - HW'!E82</f>
        <v>0</v>
      </c>
      <c r="L25" s="130">
        <f>'TCO Alt. 1 - HW'!E43+'TCO Alt. 1 - HW'!E53+'TCO Alt. 1 - HW'!E63+'TCO Alt. 1 - HW'!E73+'TCO Alt. 1 - HW'!E83</f>
        <v>0</v>
      </c>
      <c r="M25" s="131">
        <f>'TCO Alt. 1 - HW'!E44+'TCO Alt. 1 - HW'!E54+'TCO Alt. 1 - HW'!E64+'TCO Alt. 1 - HW'!E74+'TCO Alt. 1 - HW'!E84</f>
        <v>0</v>
      </c>
    </row>
    <row r="26" spans="1:13" ht="15.75" thickBot="1" x14ac:dyDescent="0.3">
      <c r="A26" s="238"/>
      <c r="B26" s="105" t="s">
        <v>103</v>
      </c>
      <c r="C26" s="111">
        <f>SUM(C20:C25)</f>
        <v>5280000</v>
      </c>
      <c r="D26" s="107">
        <f>SUM(D20:D25)</f>
        <v>528000</v>
      </c>
      <c r="E26" s="96">
        <f t="shared" ref="E26:M26" si="3">SUM(E20:E25)</f>
        <v>528000</v>
      </c>
      <c r="F26" s="96">
        <f t="shared" si="3"/>
        <v>528000</v>
      </c>
      <c r="G26" s="96">
        <f t="shared" si="3"/>
        <v>528000</v>
      </c>
      <c r="H26" s="96">
        <f t="shared" si="3"/>
        <v>528000</v>
      </c>
      <c r="I26" s="96">
        <f t="shared" si="3"/>
        <v>528000</v>
      </c>
      <c r="J26" s="96">
        <f t="shared" si="3"/>
        <v>528000</v>
      </c>
      <c r="K26" s="96">
        <f t="shared" si="3"/>
        <v>528000</v>
      </c>
      <c r="L26" s="113">
        <f t="shared" si="3"/>
        <v>528000</v>
      </c>
      <c r="M26" s="112">
        <f t="shared" si="3"/>
        <v>528000</v>
      </c>
    </row>
    <row r="27" spans="1:13" x14ac:dyDescent="0.25">
      <c r="A27" s="228"/>
      <c r="B27" s="229"/>
      <c r="C27" s="230"/>
      <c r="D27" s="230"/>
      <c r="E27" s="230"/>
      <c r="F27" s="230"/>
      <c r="G27" s="230"/>
      <c r="H27" s="230"/>
      <c r="I27" s="230"/>
      <c r="J27" s="230"/>
      <c r="K27" s="230"/>
      <c r="L27" s="230"/>
      <c r="M27" s="230"/>
    </row>
    <row r="30" spans="1:13" ht="15.75" customHeight="1" x14ac:dyDescent="0.25">
      <c r="A30" s="671" t="s">
        <v>155</v>
      </c>
      <c r="B30" s="671"/>
      <c r="C30" s="671"/>
    </row>
    <row r="32" spans="1:13" ht="15.75" thickBot="1" x14ac:dyDescent="0.3"/>
    <row r="33" spans="1:13" x14ac:dyDescent="0.25">
      <c r="A33" s="236"/>
      <c r="B33" s="231" t="s">
        <v>123</v>
      </c>
      <c r="C33" s="154" t="s">
        <v>104</v>
      </c>
      <c r="D33" s="155" t="s">
        <v>26</v>
      </c>
      <c r="E33" s="156" t="s">
        <v>27</v>
      </c>
      <c r="F33" s="156" t="s">
        <v>28</v>
      </c>
      <c r="G33" s="156" t="s">
        <v>29</v>
      </c>
      <c r="H33" s="156" t="s">
        <v>30</v>
      </c>
      <c r="I33" s="156" t="s">
        <v>31</v>
      </c>
      <c r="J33" s="156" t="s">
        <v>32</v>
      </c>
      <c r="K33" s="156" t="s">
        <v>33</v>
      </c>
      <c r="L33" s="156" t="s">
        <v>34</v>
      </c>
      <c r="M33" s="157" t="s">
        <v>35</v>
      </c>
    </row>
    <row r="34" spans="1:13" x14ac:dyDescent="0.25">
      <c r="A34" s="237"/>
      <c r="B34" s="158" t="s">
        <v>107</v>
      </c>
      <c r="C34" s="159">
        <f>SUM(D34:M34)</f>
        <v>0</v>
      </c>
      <c r="D34" s="160">
        <f t="shared" ref="D34:M34" si="4">D7-D20</f>
        <v>0</v>
      </c>
      <c r="E34" s="161">
        <f t="shared" si="4"/>
        <v>0</v>
      </c>
      <c r="F34" s="161">
        <f t="shared" si="4"/>
        <v>0</v>
      </c>
      <c r="G34" s="161">
        <f t="shared" si="4"/>
        <v>0</v>
      </c>
      <c r="H34" s="161">
        <f t="shared" si="4"/>
        <v>0</v>
      </c>
      <c r="I34" s="161">
        <f t="shared" si="4"/>
        <v>0</v>
      </c>
      <c r="J34" s="161">
        <f t="shared" si="4"/>
        <v>0</v>
      </c>
      <c r="K34" s="161">
        <f t="shared" si="4"/>
        <v>0</v>
      </c>
      <c r="L34" s="161">
        <f t="shared" si="4"/>
        <v>0</v>
      </c>
      <c r="M34" s="173">
        <f t="shared" si="4"/>
        <v>0</v>
      </c>
    </row>
    <row r="35" spans="1:13" x14ac:dyDescent="0.25">
      <c r="A35" s="237"/>
      <c r="B35" s="163" t="s">
        <v>108</v>
      </c>
      <c r="C35" s="159">
        <f t="shared" ref="C35:C39" si="5">SUM(D35:M35)</f>
        <v>0</v>
      </c>
      <c r="D35" s="160">
        <f t="shared" ref="D35:M35" si="6">D8-D21</f>
        <v>0</v>
      </c>
      <c r="E35" s="161">
        <f t="shared" si="6"/>
        <v>0</v>
      </c>
      <c r="F35" s="161">
        <f t="shared" si="6"/>
        <v>0</v>
      </c>
      <c r="G35" s="161">
        <f t="shared" si="6"/>
        <v>0</v>
      </c>
      <c r="H35" s="161">
        <f t="shared" si="6"/>
        <v>0</v>
      </c>
      <c r="I35" s="161">
        <f t="shared" si="6"/>
        <v>0</v>
      </c>
      <c r="J35" s="161">
        <f t="shared" si="6"/>
        <v>0</v>
      </c>
      <c r="K35" s="161">
        <f t="shared" si="6"/>
        <v>0</v>
      </c>
      <c r="L35" s="175">
        <f t="shared" si="6"/>
        <v>0</v>
      </c>
      <c r="M35" s="162">
        <f t="shared" si="6"/>
        <v>0</v>
      </c>
    </row>
    <row r="36" spans="1:13" x14ac:dyDescent="0.25">
      <c r="A36" s="237"/>
      <c r="B36" s="158" t="s">
        <v>109</v>
      </c>
      <c r="C36" s="159">
        <f t="shared" si="5"/>
        <v>5349512.26</v>
      </c>
      <c r="D36" s="160">
        <f t="shared" ref="D36:M36" si="7">D9-D22</f>
        <v>4052046.5300000003</v>
      </c>
      <c r="E36" s="161">
        <f t="shared" si="7"/>
        <v>1297465.73</v>
      </c>
      <c r="F36" s="161">
        <f t="shared" si="7"/>
        <v>0</v>
      </c>
      <c r="G36" s="161">
        <f t="shared" si="7"/>
        <v>0</v>
      </c>
      <c r="H36" s="161">
        <f t="shared" si="7"/>
        <v>0</v>
      </c>
      <c r="I36" s="161">
        <f t="shared" si="7"/>
        <v>0</v>
      </c>
      <c r="J36" s="161">
        <f t="shared" si="7"/>
        <v>0</v>
      </c>
      <c r="K36" s="161">
        <f t="shared" si="7"/>
        <v>0</v>
      </c>
      <c r="L36" s="175">
        <f t="shared" si="7"/>
        <v>0</v>
      </c>
      <c r="M36" s="162">
        <f t="shared" si="7"/>
        <v>0</v>
      </c>
    </row>
    <row r="37" spans="1:13" x14ac:dyDescent="0.25">
      <c r="A37" s="237"/>
      <c r="B37" s="122" t="s">
        <v>110</v>
      </c>
      <c r="C37" s="159">
        <f t="shared" si="5"/>
        <v>2824542.4732799996</v>
      </c>
      <c r="D37" s="160">
        <f t="shared" ref="D37:M37" si="8">D10-D23</f>
        <v>0</v>
      </c>
      <c r="E37" s="161">
        <f t="shared" si="8"/>
        <v>0</v>
      </c>
      <c r="F37" s="161">
        <f t="shared" si="8"/>
        <v>353067.80915999995</v>
      </c>
      <c r="G37" s="161">
        <f t="shared" si="8"/>
        <v>353067.80915999995</v>
      </c>
      <c r="H37" s="161">
        <f t="shared" si="8"/>
        <v>353067.80915999995</v>
      </c>
      <c r="I37" s="161">
        <f t="shared" si="8"/>
        <v>353067.80915999995</v>
      </c>
      <c r="J37" s="161">
        <f t="shared" si="8"/>
        <v>353067.80915999995</v>
      </c>
      <c r="K37" s="161">
        <f t="shared" si="8"/>
        <v>353067.80915999995</v>
      </c>
      <c r="L37" s="175">
        <f t="shared" si="8"/>
        <v>353067.80915999995</v>
      </c>
      <c r="M37" s="162">
        <f t="shared" si="8"/>
        <v>353067.80915999995</v>
      </c>
    </row>
    <row r="38" spans="1:13" x14ac:dyDescent="0.25">
      <c r="A38" s="237"/>
      <c r="B38" s="122" t="s">
        <v>125</v>
      </c>
      <c r="C38" s="159">
        <f t="shared" si="5"/>
        <v>0</v>
      </c>
      <c r="D38" s="160">
        <f t="shared" ref="D38:M38" si="9">D11-D24</f>
        <v>0</v>
      </c>
      <c r="E38" s="161">
        <f t="shared" si="9"/>
        <v>0</v>
      </c>
      <c r="F38" s="161">
        <f t="shared" si="9"/>
        <v>0</v>
      </c>
      <c r="G38" s="161">
        <f t="shared" si="9"/>
        <v>0</v>
      </c>
      <c r="H38" s="161">
        <f t="shared" si="9"/>
        <v>0</v>
      </c>
      <c r="I38" s="161">
        <f t="shared" si="9"/>
        <v>0</v>
      </c>
      <c r="J38" s="161">
        <f t="shared" si="9"/>
        <v>0</v>
      </c>
      <c r="K38" s="161">
        <f t="shared" si="9"/>
        <v>0</v>
      </c>
      <c r="L38" s="175">
        <f t="shared" si="9"/>
        <v>0</v>
      </c>
      <c r="M38" s="162">
        <f t="shared" si="9"/>
        <v>0</v>
      </c>
    </row>
    <row r="39" spans="1:13" ht="15.75" thickBot="1" x14ac:dyDescent="0.3">
      <c r="A39" s="237"/>
      <c r="B39" s="164" t="s">
        <v>126</v>
      </c>
      <c r="C39" s="165">
        <f t="shared" si="5"/>
        <v>0</v>
      </c>
      <c r="D39" s="166">
        <f t="shared" ref="D39:M39" si="10">D12-D25</f>
        <v>0</v>
      </c>
      <c r="E39" s="167">
        <f t="shared" si="10"/>
        <v>0</v>
      </c>
      <c r="F39" s="167">
        <f t="shared" si="10"/>
        <v>0</v>
      </c>
      <c r="G39" s="167">
        <f t="shared" si="10"/>
        <v>0</v>
      </c>
      <c r="H39" s="167">
        <f t="shared" si="10"/>
        <v>0</v>
      </c>
      <c r="I39" s="167">
        <f t="shared" si="10"/>
        <v>0</v>
      </c>
      <c r="J39" s="167">
        <f t="shared" si="10"/>
        <v>0</v>
      </c>
      <c r="K39" s="167">
        <f t="shared" si="10"/>
        <v>0</v>
      </c>
      <c r="L39" s="167">
        <f t="shared" si="10"/>
        <v>0</v>
      </c>
      <c r="M39" s="174">
        <f t="shared" si="10"/>
        <v>0</v>
      </c>
    </row>
    <row r="40" spans="1:13" ht="15.75" thickBot="1" x14ac:dyDescent="0.3">
      <c r="A40" s="238"/>
      <c r="B40" s="105" t="s">
        <v>103</v>
      </c>
      <c r="C40" s="168">
        <f>SUM(D40:M40)</f>
        <v>8174054.7332799975</v>
      </c>
      <c r="D40" s="169">
        <f>SUM(D34:D39)</f>
        <v>4052046.5300000003</v>
      </c>
      <c r="E40" s="170">
        <f t="shared" ref="E40:M40" si="11">SUM(E34:E39)</f>
        <v>1297465.73</v>
      </c>
      <c r="F40" s="170">
        <f t="shared" si="11"/>
        <v>353067.80915999995</v>
      </c>
      <c r="G40" s="170">
        <f t="shared" si="11"/>
        <v>353067.80915999995</v>
      </c>
      <c r="H40" s="170">
        <f t="shared" si="11"/>
        <v>353067.80915999995</v>
      </c>
      <c r="I40" s="170">
        <f t="shared" si="11"/>
        <v>353067.80915999995</v>
      </c>
      <c r="J40" s="170">
        <f t="shared" si="11"/>
        <v>353067.80915999995</v>
      </c>
      <c r="K40" s="170">
        <f t="shared" si="11"/>
        <v>353067.80915999995</v>
      </c>
      <c r="L40" s="171">
        <f t="shared" si="11"/>
        <v>353067.80915999995</v>
      </c>
      <c r="M40" s="172">
        <f t="shared" si="11"/>
        <v>353067.80915999995</v>
      </c>
    </row>
  </sheetData>
  <mergeCells count="4">
    <mergeCell ref="D5:M5"/>
    <mergeCell ref="A16:C16"/>
    <mergeCell ref="D18:M18"/>
    <mergeCell ref="A30:C30"/>
  </mergeCells>
  <pageMargins left="0.7" right="0.7" top="0.75" bottom="0.75" header="0.3" footer="0.3"/>
  <pageSetup paperSize="9" orientation="portrait" r:id="rId1"/>
  <ignoredErrors>
    <ignoredError sqref="E10"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28</vt:i4>
      </vt:variant>
    </vt:vector>
  </HeadingPairs>
  <TitlesOfParts>
    <vt:vector size="28" baseType="lpstr">
      <vt:lpstr>Úvod</vt:lpstr>
      <vt:lpstr>Zoznam hárkov</vt:lpstr>
      <vt:lpstr>Sumarizácia</vt:lpstr>
      <vt:lpstr>CBA - Agendové IS</vt:lpstr>
      <vt:lpstr>Analyza citlivosti - AgendovéIS</vt:lpstr>
      <vt:lpstr>Prínosy - Agendové IS</vt:lpstr>
      <vt:lpstr>Výdavky - Agendové IS</vt:lpstr>
      <vt:lpstr>Parametre - Agendové IS</vt:lpstr>
      <vt:lpstr>TCO</vt:lpstr>
      <vt:lpstr>TCO Alt. 1 - SW</vt:lpstr>
      <vt:lpstr>TCO Alt. 1 - HW</vt:lpstr>
      <vt:lpstr>TCO Alt. 2 - SW</vt:lpstr>
      <vt:lpstr>TCO Alt. 2 - HW</vt:lpstr>
      <vt:lpstr>Indikativny rozpočet</vt:lpstr>
      <vt:lpstr>Aktivíty podľa Príručky</vt:lpstr>
      <vt:lpstr>Faktory</vt:lpstr>
      <vt:lpstr>Procesné mapy - AS IS</vt:lpstr>
      <vt:lpstr>Procesne mapy - TO BE</vt:lpstr>
      <vt:lpstr>Merania - PrZS</vt:lpstr>
      <vt:lpstr>Merania - KV</vt:lpstr>
      <vt:lpstr>Merania - PZS</vt:lpstr>
      <vt:lpstr>Merania - ZPR</vt:lpstr>
      <vt:lpstr>Detail - PrZS Novorodenec_CBA</vt:lpstr>
      <vt:lpstr>Detail - KV</vt:lpstr>
      <vt:lpstr>Detail - Registrácia a uk. PZS</vt:lpstr>
      <vt:lpstr>Detail - Registrácia a uk. ZPr</vt:lpstr>
      <vt:lpstr>Zdroje</vt:lpstr>
      <vt:lpstr>Počty transakcii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Krok Martin</dc:creator>
  <cp:lastModifiedBy>Richard Holly</cp:lastModifiedBy>
  <cp:lastPrinted>2015-06-09T13:06:45Z</cp:lastPrinted>
  <dcterms:created xsi:type="dcterms:W3CDTF">2015-01-29T13:50:20Z</dcterms:created>
  <dcterms:modified xsi:type="dcterms:W3CDTF">2018-11-11T22:41:43Z</dcterms:modified>
</cp:coreProperties>
</file>